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defaultThemeVersion="166925"/>
  <mc:AlternateContent xmlns:mc="http://schemas.openxmlformats.org/markup-compatibility/2006">
    <mc:Choice Requires="x15">
      <x15ac:absPath xmlns:x15ac="http://schemas.microsoft.com/office/spreadsheetml/2010/11/ac" url="C:\Users\1\Downloads\"/>
    </mc:Choice>
  </mc:AlternateContent>
  <xr:revisionPtr revIDLastSave="0" documentId="8_{31039D7D-D357-4CCA-94D0-7C8BFCA70798}" xr6:coauthVersionLast="45" xr6:coauthVersionMax="45" xr10:uidLastSave="{00000000-0000-0000-0000-000000000000}"/>
  <bookViews>
    <workbookView xWindow="-120" yWindow="-120" windowWidth="20730" windowHeight="1116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<sst xmlns="http://schemas.openxmlformats.org/spreadsheetml/2006/main" count="2763" uniqueCount="611">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</sst>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D5" sqref="D5"/>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19</v>
      </c>
      <c r="C3" t="s">
        <v>47</v>
      </c>
    </row>
    <row r="4" spans="1:7" x14ac:dyDescent="0.2">
      <c r="A4" s="1" t="s">
        <v>3</v>
      </c>
      <c r="B4" s="192">
        <f>IF(B9&gt;0%,0,6%)</f>
        <v>0.06</v>
      </c>
      <c r="C4" s="22" t="s">
        <v>36</v>
      </c>
      <c r="D4" s="22" t="s">
        <v>22</v>
      </c>
    </row>
    <row r="5" spans="1:7" x14ac:dyDescent="0.2">
      <c r="A5" s="1" t="s">
        <v>4</v>
      </c>
      <c r="B5" s="193">
        <f>IF(B2=B33,8.75,IF(B2=C33,8.75,0))</f>
        <v>8.75</v>
      </c>
      <c r="C5" s="22" t="s">
        <v>36</v>
      </c>
      <c r="D5" s="22" t="s">
        <v>23</v>
      </c>
    </row>
    <row r="6" spans="1:7" x14ac:dyDescent="0.2">
      <c r="A6" s="1" t="s">
        <v>38</v>
      </c>
      <c r="B6" s="5">
        <v>9</v>
      </c>
      <c r="C6" t="s">
        <v>24</v>
      </c>
    </row>
    <row r="7" spans="1:7" x14ac:dyDescent="0.2">
      <c r="A7" s="1" t="s">
        <v>5</v>
      </c>
      <c r="B7" s="4">
        <v>0</v>
      </c>
      <c r="C7" t="s">
        <v>45</v>
      </c>
    </row>
    <row r="8" spans="1:7" x14ac:dyDescent="0.2">
      <c r="A8" s="1" t="s">
        <v>37</v>
      </c>
      <c r="B8" s="4">
        <v>0.9</v>
      </c>
      <c r="C8" t="s">
        <v>44</v>
      </c>
    </row>
    <row r="9" spans="1:7" x14ac:dyDescent="0.2">
      <c r="A9" s="6" t="s">
        <v>6</v>
      </c>
      <c r="B9" s="4">
        <v>0</v>
      </c>
      <c r="C9" t="s">
        <v>46</v>
      </c>
    </row>
    <row r="10" spans="1:7" x14ac:dyDescent="0.2">
      <c r="A10" s="6" t="s">
        <v>7</v>
      </c>
      <c r="B10" s="4" t="s">
        <v>8</v>
      </c>
      <c r="C10" t="s">
        <v>25</v>
      </c>
      <c r="E10" s="10"/>
    </row>
    <row r="11" spans="1:7" ht="15" thickBot="1" x14ac:dyDescent="0.25">
      <c r="A11" s="17" t="s">
        <v>42</v>
      </c>
      <c r="B11" s="18" t="s">
        <v>26</v>
      </c>
      <c r="C11" t="s">
        <v>43</v>
      </c>
      <c r="E11" s="10"/>
    </row>
    <row r="12" spans="1:7" ht="15.75" thickTop="1" x14ac:dyDescent="0.25">
      <c r="A12" s="14" t="s">
        <v>42</v>
      </c>
      <c r="B12" s="15">
        <v>1</v>
      </c>
      <c r="C12" t="s">
        <v>51</v>
      </c>
    </row>
    <row r="13" spans="1:7" ht="15" x14ac:dyDescent="0.25">
      <c r="A13" s="14" t="s">
        <v>30</v>
      </c>
      <c r="B13" s="15">
        <v>0.75</v>
      </c>
      <c r="C13" t="s">
        <v>50</v>
      </c>
    </row>
    <row r="14" spans="1:7" ht="15" x14ac:dyDescent="0.25">
      <c r="A14" s="14" t="s">
        <v>31</v>
      </c>
      <c r="B14" s="15">
        <v>0.15</v>
      </c>
      <c r="C14" t="s">
        <v>49</v>
      </c>
      <c r="D14" s="194" t="s">
        <v>608</v>
      </c>
      <c r="E14" s="194"/>
      <c r="F14" s="194"/>
      <c r="G14" s="194"/>
    </row>
    <row r="15" spans="1:7" ht="15.75" thickBot="1" x14ac:dyDescent="0.3">
      <c r="A15" s="16"/>
      <c r="B15" s="16"/>
      <c r="C15" s="16"/>
      <c r="D15" s="13" t="s">
        <v>40</v>
      </c>
      <c r="E15" s="197">
        <v>16</v>
      </c>
      <c r="F15" s="198">
        <f>($E$15/24)+AX44</f>
        <v>0.75</v>
      </c>
      <c r="G15" s="11" t="s">
        <v>30</v>
      </c>
    </row>
    <row r="16" spans="1:7" ht="15.75" thickBot="1" x14ac:dyDescent="0.3">
      <c r="D16" s="13" t="s">
        <v>41</v>
      </c>
      <c r="E16" s="197">
        <v>4</v>
      </c>
      <c r="F16" s="198">
        <f>$E$16/30+AX45</f>
        <v>0.15</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2</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0.27374999999999999</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3.6000000000000004E-2</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0.30974999999999997</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0.66666666666666663</v>
      </c>
      <c r="AW44" s="199">
        <f>AV44/(AV45+AV44)</f>
        <v>0.83333333333333337</v>
      </c>
      <c r="AX44" s="199">
        <f>AU44*AW44</f>
        <v>8.3333333333333343E-2</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0.13333333333333333</v>
      </c>
      <c r="AW45" s="199">
        <f>AV45/(AV44+AV45)</f>
        <v>0.16666666666666669</v>
      </c>
      <c r="AX45" s="199">
        <f>AW45*AU44</f>
        <v>1.666666666666667E-2</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65.760000000000005</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-5.7600000000000051</v>
      </c>
      <c r="P711" s="27" t="s">
        <v>96</v>
      </c>
      <c r="Q711" s="27">
        <f ca="1">Q710+O711</f>
        <v>-5.4000000000000048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27.239999999999995</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13.25</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45280</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-0.30936000000000019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13.25</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26" sqref="C26"/>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f>N82</f>
        <v>6300.0034374999996</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1</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1</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1</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f>VLOOKUP(S69,S72:S88,1,1)</f>
        <v>11552.402776248533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f>IF(OR($C$5=$CB$16,$C$5=$CC$16),S72*1.05,S72)</f>
        <v>6300.0034374999996</v>
      </c>
      <c r="S72" s="27">
        <f>VLOOKUP(INT(W18),ofek4,1+2,FALSE)</f>
        <v>6300.0034374999996</v>
      </c>
      <c r="T72" s="27">
        <f>S72*0.75</f>
        <v>4725.0025781249997</v>
      </c>
      <c r="U72" s="27">
        <f t="shared" ref="U72:U88" si="5">T72*$U$70</f>
        <v>4307.0548375782419</v>
      </c>
      <c r="V72" s="27">
        <f t="shared" ref="V72:V88" si="6">U72*$S$64</f>
        <v>3747.0515675963188</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f>R72*1.0375</f>
        <v>6536.2535664062498</v>
      </c>
      <c r="S73" s="27">
        <f>S72*1.0375</f>
        <v>6536.2535664062498</v>
      </c>
      <c r="T73" s="27">
        <f t="shared" ref="T73:T88" si="7">S73*0.75</f>
        <v>4902.1901748046876</v>
      </c>
      <c r="U73" s="27">
        <f t="shared" si="5"/>
        <v>4468.5693939874263</v>
      </c>
      <c r="V73" s="27">
        <f t="shared" si="6"/>
        <v>3887.5660013811812</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f>IF(OR($C$5=$CB$16,$C$5=$CC$16),S74*1.05,S74)</f>
        <v>6772.5036953124991</v>
      </c>
      <c r="S74" s="27">
        <f>VLOOKUP(INT(W18),ofek4,2+2,FALSE)</f>
        <v>6772.5036953124991</v>
      </c>
      <c r="T74" s="27">
        <f t="shared" si="7"/>
        <v>5079.3777714843745</v>
      </c>
      <c r="U74" s="27">
        <f t="shared" si="5"/>
        <v>4630.0839503966099</v>
      </c>
      <c r="V74" s="27">
        <f t="shared" si="6"/>
        <v>4028.0804351660427</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f>R74*1.0375</f>
        <v>7026.472583886718</v>
      </c>
      <c r="S75" s="27">
        <f>S74*1.0375</f>
        <v>7026.472583886718</v>
      </c>
      <c r="T75" s="27">
        <f t="shared" si="7"/>
        <v>5269.8544379150389</v>
      </c>
      <c r="U75" s="27">
        <f t="shared" si="5"/>
        <v>4803.7120985364836</v>
      </c>
      <c r="V75" s="27">
        <f t="shared" si="6"/>
        <v>4179.1334514847695</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f>IF(OR($C$5=$CB$16,$C$5=$CC$16),S76*1.05,S76)</f>
        <v>7280.441472460936</v>
      </c>
      <c r="S76" s="27">
        <f>VLOOKUP(INT(W18),ofek4,3+2,FALSE)</f>
        <v>7280.441472460936</v>
      </c>
      <c r="T76" s="27">
        <f t="shared" si="7"/>
        <v>5460.3311043457015</v>
      </c>
      <c r="U76" s="27">
        <f t="shared" si="5"/>
        <v>4977.3402466763546</v>
      </c>
      <c r="V76" s="27">
        <f t="shared" si="6"/>
        <v>4330.1864678034945</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f>R76*1.0375</f>
        <v>7553.4580276782217</v>
      </c>
      <c r="S77" s="27">
        <f>S76*1.0375</f>
        <v>7553.4580276782217</v>
      </c>
      <c r="T77" s="27">
        <f t="shared" si="7"/>
        <v>5665.0935207586663</v>
      </c>
      <c r="U77" s="27">
        <f t="shared" si="5"/>
        <v>5163.9905059267185</v>
      </c>
      <c r="V77" s="27">
        <f t="shared" si="6"/>
        <v>4492.5684603461268</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f>IF(OR($C$5=$CB$16,$C$5=$CC$16),S78*1.05,S78)</f>
        <v>7826.4745828955056</v>
      </c>
      <c r="S78" s="27">
        <f>VLOOKUP(INT(W18),ofek4,4+2,FALSE)</f>
        <v>7826.4745828955056</v>
      </c>
      <c r="T78" s="27">
        <f t="shared" si="7"/>
        <v>5869.8559371716292</v>
      </c>
      <c r="U78" s="27">
        <f t="shared" si="5"/>
        <v>5350.6407651770814</v>
      </c>
      <c r="V78" s="27">
        <f t="shared" si="6"/>
        <v>4654.9504528887574</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f>R78*1.0375</f>
        <v>8119.9673797540881</v>
      </c>
      <c r="S79" s="27">
        <f>S78*1.0375</f>
        <v>8119.9673797540881</v>
      </c>
      <c r="T79" s="27">
        <f t="shared" si="7"/>
        <v>6089.9755348155659</v>
      </c>
      <c r="U79" s="27">
        <f t="shared" si="5"/>
        <v>5551.2897938712222</v>
      </c>
      <c r="V79" s="27">
        <f t="shared" si="6"/>
        <v>4829.5110948720858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f>IF(OR($C$5=$CB$16,$C$5=$CC$16),S80*1.05,S80)</f>
        <v>8413.4601766126689</v>
      </c>
      <c r="S80" s="27">
        <f>VLOOKUP(INT(W18),ofek4,5+2,FALSE)</f>
        <v>8413.4601766126689</v>
      </c>
      <c r="T80" s="27">
        <f t="shared" si="7"/>
        <v>6310.0951324595017</v>
      </c>
      <c r="U80" s="27">
        <f t="shared" si="5"/>
        <v>5751.9388225653629</v>
      </c>
      <c r="V80" s="27">
        <f t="shared" si="6"/>
        <v>5004.0717368554142</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1  שנות הוראה  </v>
      </c>
      <c r="O81" s="27">
        <v>543</v>
      </c>
      <c r="P81" s="27"/>
      <c r="Q81" s="27"/>
      <c r="R81" s="27">
        <f>R80*1.0375</f>
        <v>8728.9649332356439</v>
      </c>
      <c r="S81" s="27">
        <f>S80*1.0375</f>
        <v>8728.9649332356439</v>
      </c>
      <c r="T81" s="27">
        <f t="shared" si="7"/>
        <v>6546.7236999267334</v>
      </c>
      <c r="U81" s="27">
        <f t="shared" si="5"/>
        <v>5967.6365284115645</v>
      </c>
      <c r="V81" s="27">
        <f t="shared" si="6"/>
        <v>5191.7244269874927</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f t="shared" ref="N82:N98" si="8">IF($C$5=$CB$16,R72*1.05,IF($C$5=$CE$16,T72,IF($C$5=$CF$16,U72,IF(OR($C$5=$CC$16,$C$5=$CD$16),S72,U72*$S$64))))</f>
        <v>6300.0034374999996</v>
      </c>
      <c r="O82" s="27"/>
      <c r="P82" s="27"/>
      <c r="Q82" s="27"/>
      <c r="R82" s="27">
        <f>IF(OR($C$5=$CB$16,$C$5=$CC$16),S82*1.05,S82)</f>
        <v>9044.4696898586189</v>
      </c>
      <c r="S82" s="27">
        <f>VLOOKUP(INT(W18),ofek4,6+2,FALSE)</f>
        <v>9044.4696898586189</v>
      </c>
      <c r="T82" s="27">
        <f t="shared" si="7"/>
        <v>6783.3522673939642</v>
      </c>
      <c r="U82" s="27">
        <f t="shared" si="5"/>
        <v>6183.3342342577653</v>
      </c>
      <c r="V82" s="27">
        <f t="shared" si="6"/>
        <v>5379.3771171195704</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f t="shared" si="8"/>
        <v>6536.2535664062498</v>
      </c>
      <c r="O83" s="27"/>
      <c r="P83" s="27"/>
      <c r="Q83" s="27"/>
      <c r="R83" s="27">
        <f>R82*1.0375</f>
        <v>9383.6373032283173</v>
      </c>
      <c r="S83" s="27">
        <f>S82*1.0425</f>
        <v>9428.8596516776106</v>
      </c>
      <c r="T83" s="27">
        <f t="shared" si="7"/>
        <v>7071.6447387582084</v>
      </c>
      <c r="U83" s="27">
        <f t="shared" si="5"/>
        <v>6446.1259392137208</v>
      </c>
      <c r="V83" s="27">
        <f t="shared" si="6"/>
        <v>5608.000644597153</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f t="shared" si="8"/>
        <v>6772.5036953124991</v>
      </c>
      <c r="O84" s="27"/>
      <c r="P84" s="27"/>
      <c r="Q84" s="27"/>
      <c r="R84" s="27">
        <f>IF(OR($C$5=$CB$16,$C$5=$CC$16),S84*1.05,S84)</f>
        <v>9813.2496134966004</v>
      </c>
      <c r="S84" s="27">
        <f>VLOOKUP(INT(W18),ofek4,7+2,FALSE)</f>
        <v>9813.2496134966004</v>
      </c>
      <c r="T84" s="27">
        <f>S84*0.75</f>
        <v>7359.9372101224508</v>
      </c>
      <c r="U84" s="27">
        <f t="shared" si="5"/>
        <v>6708.9176441696745</v>
      </c>
      <c r="V84" s="27">
        <f t="shared" si="6"/>
        <v>5836.624172074733</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f t="shared" si="8"/>
        <v>7026.472583886718</v>
      </c>
      <c r="O85" s="27" t="s">
        <v>9</v>
      </c>
      <c r="P85" s="27" t="s">
        <v>12</v>
      </c>
      <c r="Q85" s="27" t="s">
        <v>13</v>
      </c>
      <c r="R85" s="27">
        <f>R84*1.0375</f>
        <v>10181.246474002724</v>
      </c>
      <c r="S85" s="27">
        <f>S84*1.0425</f>
        <v>10230.312722070206</v>
      </c>
      <c r="T85" s="27">
        <f t="shared" si="7"/>
        <v>7672.7345415526543</v>
      </c>
      <c r="U85" s="27">
        <f t="shared" si="5"/>
        <v>6994.0466440468854</v>
      </c>
      <c r="V85" s="27">
        <f t="shared" si="6"/>
        <v>6084.680699387909</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f t="shared" si="8"/>
        <v>7280.441472460936</v>
      </c>
      <c r="O86" s="27">
        <f t="shared" ref="O86:O102" si="9">N120*0.75</f>
        <v>4725.0025781249997</v>
      </c>
      <c r="P86" s="27">
        <f t="shared" ref="P86:P102" si="10">O86*$U$70</f>
        <v>4307.0548375782419</v>
      </c>
      <c r="Q86" s="27">
        <f t="shared" ref="Q86:Q102" si="11">P86*$S$64</f>
        <v>3747.0515675963188</v>
      </c>
      <c r="R86" s="27">
        <f>IF(OR($C$5=$CB$16,$C$5=$CC$16),S86*1.05,S86)</f>
        <v>10647.37583064381</v>
      </c>
      <c r="S86" s="27">
        <f>VLOOKUP(INT(W18),ofek4,8+2,FALSE)</f>
        <v>10647.37583064381</v>
      </c>
      <c r="T86" s="27">
        <f t="shared" si="7"/>
        <v>7985.5318729828577</v>
      </c>
      <c r="U86" s="27">
        <f t="shared" si="5"/>
        <v>7279.1756439240953</v>
      </c>
      <c r="V86" s="27">
        <f t="shared" si="6"/>
        <v>6332.7372267010842</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f t="shared" si="8"/>
        <v>7553.4580276782217</v>
      </c>
      <c r="O87" s="27">
        <f t="shared" si="9"/>
        <v>4902.1901748046876</v>
      </c>
      <c r="P87" s="27">
        <f t="shared" si="10"/>
        <v>4468.5693939874263</v>
      </c>
      <c r="Q87" s="27">
        <f t="shared" si="11"/>
        <v>3887.5660013811812</v>
      </c>
      <c r="R87" s="27">
        <f>R86*1.0375</f>
        <v>11046.652424292954</v>
      </c>
      <c r="S87" s="27">
        <f>S86*1.0425</f>
        <v>11099.889303446173</v>
      </c>
      <c r="T87" s="27">
        <f t="shared" si="7"/>
        <v>8324.9169775846294</v>
      </c>
      <c r="U87" s="27">
        <f t="shared" si="5"/>
        <v>7588.5406087908696</v>
      </c>
      <c r="V87" s="27">
        <f t="shared" si="6"/>
        <v>6601.8785588358805</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f t="shared" si="8"/>
        <v>7826.4745828955056</v>
      </c>
      <c r="O88" s="27">
        <f t="shared" si="9"/>
        <v>5079.3777714843745</v>
      </c>
      <c r="P88" s="27">
        <f t="shared" si="10"/>
        <v>4630.0839503966099</v>
      </c>
      <c r="Q88" s="27">
        <f t="shared" si="11"/>
        <v>4028.0804351660427</v>
      </c>
      <c r="R88" s="27">
        <f>IF(OR($C$5=$CB$16,$C$5=$CC$16),S88*1.05,S88)</f>
        <v>11552.402776248533</v>
      </c>
      <c r="S88" s="27">
        <f>VLOOKUP(INT(W18),ofek4,9+2,FALSE)</f>
        <v>11552.402776248533</v>
      </c>
      <c r="T88" s="27">
        <f t="shared" si="7"/>
        <v>8664.3020821863993</v>
      </c>
      <c r="U88" s="27">
        <f t="shared" si="5"/>
        <v>7897.9055736576429</v>
      </c>
      <c r="V88" s="27">
        <f t="shared" si="6"/>
        <v>6871.019890970676</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f t="shared" si="8"/>
        <v>8119.9673797540881</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f t="shared" si="8"/>
        <v>8413.4601766126689</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f t="shared" si="8"/>
        <v>8728.9649332356439</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f t="shared" si="8"/>
        <v>9044.4696898586189</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f t="shared" si="8"/>
        <v>9428.8596516776106</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f t="shared" si="8"/>
        <v>9813.2496134966004</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f t="shared" si="8"/>
        <v>10230.312722070206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f t="shared" si="8"/>
        <v>10647.37583064381</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f t="shared" si="8"/>
        <v>11099.889303446173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f t="shared" si="8"/>
        <v>11552.402776248533</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1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f t="shared" si="14"/>
        <v>6300.0034374999996</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f t="shared" si="14"/>
        <v>6536.2535664062498</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f t="shared" si="14"/>
        <v>6772.5036953124991</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f t="shared" si="14"/>
        <v>7026.472583886718</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f t="shared" si="14"/>
        <v>7280.441472460936</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7553.4580276782217</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f t="shared" si="14"/>
        <v>7826.4745828955056</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f t="shared" si="14"/>
        <v>8119.9673797540881</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f t="shared" si="14"/>
        <v>8413.4601766126689</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f t="shared" si="14"/>
        <v>8728.9649332356439</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f t="shared" si="14"/>
        <v>9044.4696898586189</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f t="shared" si="14"/>
        <v>9428.8596516776106</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9813.2496134966004</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f t="shared" si="14"/>
        <v>10230.312722070206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f t="shared" si="14"/>
        <v>10647.37583064381</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f t="shared" si="14"/>
        <v>11099.889303446173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f t="shared" si="14"/>
        <v>11552.402776248533</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f>M170*0.95</f>
        <v>5985.0032656249996</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f t="shared" ref="J208:J223" si="17">M171*0.95</f>
        <v>6209.4408880859373</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f t="shared" si="17"/>
        <v>6433.8785105468742</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f t="shared" si="17"/>
        <v>6675.1489546923822</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f t="shared" si="17"/>
        <v>6916.4193988378893</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f t="shared" si="17"/>
        <v>7175.7851262943104</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f t="shared" si="17"/>
        <v>7435.1508537507298</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f t="shared" si="17"/>
        <v>7713.9690107663837</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f t="shared" si="17"/>
        <v>7992.7871677820349</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f t="shared" si="17"/>
        <v>8292.5166865738611</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f t="shared" si="17"/>
        <v>8592.2462053656873</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f t="shared" si="17"/>
        <v>8957.4166690937291</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f t="shared" si="17"/>
        <v>9322.5871328217709</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f t="shared" si="17"/>
        <v>9718.7970859666948</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f t="shared" si="17"/>
        <v>10115.007039111619</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f t="shared" si="17"/>
        <v>10544.894838273864</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f t="shared" si="17"/>
        <v>10974.782637436107</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65.760000000000005</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-5.7600000000000051</v>
      </c>
      <c r="P711" s="27" t="s">
        <v>96</v>
      </c>
      <c r="Q711" s="27">
        <f ca="1">Q710+O711</f>
        <v>-5.4000000000000048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27.239999999999995</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13.25</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45280</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-0.30936000000000019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13.25</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1</cp:lastModifiedBy>
  <cp:lastPrinted>2023-09-05T13:48:47Z</cp:lastPrinted>
  <dcterms:created xsi:type="dcterms:W3CDTF">2023-09-05T11:53:22Z</dcterms:created>
  <dcterms:modified xsi:type="dcterms:W3CDTF">2023-12-20T19:29:33Z</dcterms:modified>
</cp:coreProperties>
</file>