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8B55F10-3EB3-4D49-9C0A-73C5CC222813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 2023" sheetId="4" r:id="rId3"/>
  </sheets>
  <definedNames>
    <definedName name="_xlnm._FilterDatabase" localSheetId="2" hidden="1">'מחירים שוק חופשי 2023'!$A$1:$D$21</definedName>
    <definedName name="_xlnm._FilterDatabase" localSheetId="0" hidden="1">ראשי!$A$3:$O$23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2" l="1"/>
  <c r="H13" i="2"/>
  <c r="I2" i="5"/>
  <c r="A2" i="5" s="1"/>
  <c r="L2" i="5"/>
  <c r="B2" i="5" s="1"/>
  <c r="I3" i="5"/>
  <c r="L3" i="5"/>
  <c r="I4" i="5"/>
  <c r="L4" i="5"/>
  <c r="I5" i="5"/>
  <c r="A4" i="5" s="1"/>
  <c r="L5" i="5"/>
  <c r="B4" i="5" s="1"/>
  <c r="I6" i="5"/>
  <c r="L6" i="5"/>
  <c r="I7" i="5"/>
  <c r="A7" i="5" s="1"/>
  <c r="L7" i="5"/>
  <c r="B7" i="5" s="1"/>
  <c r="I8" i="5"/>
  <c r="L8" i="5"/>
  <c r="I9" i="5"/>
  <c r="L9" i="5"/>
  <c r="A10" i="5"/>
  <c r="B10" i="5"/>
  <c r="I10" i="5"/>
  <c r="L10" i="5"/>
  <c r="I11" i="5"/>
  <c r="L11" i="5"/>
  <c r="I12" i="5"/>
  <c r="L12" i="5"/>
  <c r="I13" i="5"/>
  <c r="L13" i="5"/>
  <c r="I14" i="5"/>
  <c r="L14" i="5"/>
  <c r="A15" i="5"/>
  <c r="B15" i="5"/>
  <c r="I15" i="5"/>
  <c r="L15" i="5"/>
  <c r="I16" i="5"/>
  <c r="L16" i="5"/>
  <c r="I17" i="5"/>
  <c r="L17" i="5"/>
  <c r="I18" i="5"/>
  <c r="L18" i="5"/>
  <c r="I19" i="5"/>
  <c r="A17" i="5" s="1"/>
  <c r="L19" i="5"/>
  <c r="B17" i="5" s="1"/>
  <c r="I20" i="5"/>
  <c r="L20" i="5"/>
  <c r="I21" i="5"/>
  <c r="A20" i="5" s="1"/>
  <c r="L21" i="5"/>
  <c r="B20" i="5" s="1"/>
  <c r="I22" i="5"/>
  <c r="L22" i="5"/>
  <c r="I23" i="5"/>
  <c r="L23" i="5"/>
  <c r="A24" i="5"/>
  <c r="B24" i="5"/>
  <c r="I24" i="5"/>
  <c r="L24" i="5"/>
  <c r="I25" i="5"/>
  <c r="L25" i="5"/>
  <c r="I26" i="5"/>
  <c r="L26" i="5"/>
  <c r="I27" i="5"/>
  <c r="L27" i="5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4" i="2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" i="4"/>
  <c r="C3" i="4"/>
  <c r="C4" i="4"/>
  <c r="C5" i="4"/>
  <c r="C6" i="4"/>
  <c r="H8" i="2" s="1"/>
  <c r="C7" i="4"/>
  <c r="C8" i="4"/>
  <c r="H10" i="2" s="1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  <c r="H4" i="2"/>
  <c r="G21" i="2" l="1"/>
  <c r="K21" i="2"/>
  <c r="G6" i="2"/>
  <c r="K6" i="2"/>
  <c r="G16" i="2"/>
  <c r="K16" i="2"/>
  <c r="G11" i="2"/>
  <c r="G12" i="2" l="1"/>
  <c r="G4" i="2"/>
  <c r="G7" i="2"/>
  <c r="G23" i="2"/>
  <c r="G8" i="2"/>
  <c r="G19" i="2"/>
  <c r="G18" i="2"/>
  <c r="G20" i="2"/>
  <c r="G17" i="2"/>
  <c r="G13" i="2"/>
  <c r="G10" i="2"/>
  <c r="G14" i="2"/>
  <c r="G9" i="2"/>
  <c r="G22" i="2"/>
  <c r="G5" i="2"/>
  <c r="K4" i="2"/>
  <c r="K7" i="2"/>
  <c r="K23" i="2"/>
  <c r="K8" i="2"/>
  <c r="K19" i="2"/>
  <c r="K18" i="2"/>
  <c r="K17" i="2"/>
  <c r="K13" i="2"/>
  <c r="K10" i="2"/>
  <c r="K14" i="2"/>
  <c r="K9" i="2"/>
  <c r="K22" i="2"/>
  <c r="K15" i="2"/>
  <c r="K5" i="2"/>
  <c r="K11" i="2"/>
  <c r="H22" i="2"/>
  <c r="H19" i="2"/>
  <c r="H18" i="2"/>
  <c r="H11" i="2"/>
  <c r="H12" i="2"/>
  <c r="H7" i="2"/>
  <c r="H14" i="2"/>
  <c r="H9" i="2"/>
  <c r="H20" i="2"/>
  <c r="H17" i="2"/>
  <c r="M6" i="2" l="1"/>
  <c r="L6" i="2"/>
  <c r="H6" i="2"/>
  <c r="I6" i="2"/>
  <c r="H16" i="2"/>
  <c r="I16" i="2"/>
  <c r="L16" i="2"/>
  <c r="M16" i="2"/>
  <c r="H5" i="2"/>
  <c r="H23" i="2"/>
  <c r="H21" i="2"/>
  <c r="I21" i="2"/>
  <c r="L21" i="2"/>
  <c r="M21" i="2"/>
  <c r="I5" i="2"/>
  <c r="L15" i="2"/>
  <c r="M15" i="2"/>
  <c r="L7" i="2"/>
  <c r="M7" i="2"/>
  <c r="I22" i="2"/>
  <c r="I20" i="2"/>
  <c r="I4" i="2"/>
  <c r="L9" i="2"/>
  <c r="M9" i="2"/>
  <c r="L18" i="2"/>
  <c r="M18" i="2"/>
  <c r="I13" i="2"/>
  <c r="L17" i="2"/>
  <c r="M17" i="2"/>
  <c r="L22" i="2"/>
  <c r="M22" i="2"/>
  <c r="I18" i="2"/>
  <c r="L14" i="2"/>
  <c r="M14" i="2"/>
  <c r="L19" i="2"/>
  <c r="M19" i="2"/>
  <c r="I14" i="2"/>
  <c r="I19" i="2"/>
  <c r="M11" i="2"/>
  <c r="L11" i="2"/>
  <c r="M10" i="2"/>
  <c r="L10" i="2"/>
  <c r="M8" i="2"/>
  <c r="L8" i="2"/>
  <c r="I23" i="2"/>
  <c r="I17" i="2"/>
  <c r="I7" i="2"/>
  <c r="M4" i="2"/>
  <c r="I9" i="2"/>
  <c r="I12" i="2"/>
  <c r="I11" i="2"/>
  <c r="I10" i="2"/>
  <c r="I8" i="2"/>
  <c r="L5" i="2"/>
  <c r="M5" i="2"/>
  <c r="L13" i="2"/>
  <c r="M13" i="2"/>
  <c r="L23" i="2"/>
  <c r="M23" i="2"/>
  <c r="M12" i="2"/>
  <c r="L12" i="2"/>
  <c r="K12" i="2"/>
  <c r="G15" i="2"/>
  <c r="I15" i="2"/>
  <c r="H15" i="2"/>
  <c r="K20" i="2"/>
  <c r="L20" i="2"/>
  <c r="M20" i="2"/>
</calcChain>
</file>

<file path=xl/sharedStrings.xml><?xml version="1.0" encoding="utf-8"?>
<sst xmlns="http://schemas.openxmlformats.org/spreadsheetml/2006/main" count="110" uniqueCount="58">
  <si>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</si>
  <si>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</si>
  <si>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</si>
  <si>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</si>
  <si>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</si>
  <si>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</si>
  <si>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</si>
  <si>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</si>
  <si>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</si>
  <si>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</si>
  <si>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</si>
  <si>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</si>
  <si>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</si>
  <si>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</si>
  <si>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</si>
  <si>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</si>
  <si>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</si>
  <si>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</si>
  <si>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</si>
  <si>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</si>
  <si>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</si>
  <si>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</si>
  <si>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</si>
  <si>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</si>
  <si>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</si>
  <si>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</si>
  <si>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</si>
  <si>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</si>
  <si>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</si>
  <si>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</si>
  <si>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</si>
  <si>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</si>
  <si>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</si>
  <si>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</si>
  <si>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טירת כרמל</t>
  </si>
  <si>
    <t>בית שאן</t>
  </si>
  <si>
    <t>באר שבע</t>
  </si>
  <si>
    <t>אכסאל</t>
  </si>
  <si>
    <t>דיר אל אסד</t>
  </si>
  <si>
    <t>צור הדסה</t>
  </si>
  <si>
    <r>
      <t>ירושלים</t>
    </r>
    <r>
      <rPr>
        <sz val="9"/>
        <color theme="1"/>
        <rFont val="Adama"/>
        <charset val="177"/>
      </rPr>
      <t>-רמות</t>
    </r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</si>
  <si>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</si>
  <si>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</si>
  <si>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</si>
  <si>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</si>
  <si>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</si>
  <si>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</si>
  <si>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</si>
  <si>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מתחם האלף-ממוצע שלי</t>
  </si>
  <si>
    <t>פסגת רמות-ממוצע שלי</t>
  </si>
  <si>
    <t>אין נתונים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</si>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</sst>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165" fontId="7" fillId="0" borderId="6" xfId="1" applyNumberFormat="1" applyFont="1" applyBorder="1"/>
    <xf numFmtId="165" fontId="7" fillId="0" borderId="14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165" fontId="7" fillId="0" borderId="12" xfId="1" applyNumberFormat="1" applyFont="1" applyBorder="1"/>
    <xf numFmtId="0" fontId="7" fillId="0" borderId="16" xfId="0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9" fontId="7" fillId="0" borderId="10" xfId="2" applyFont="1" applyBorder="1"/>
    <xf numFmtId="0" fontId="7" fillId="0" borderId="15" xfId="0" applyFont="1" applyBorder="1"/>
    <xf numFmtId="165" fontId="7" fillId="0" borderId="8" xfId="0" applyNumberFormat="1" applyFont="1" applyBorder="1"/>
    <xf numFmtId="165" fontId="7" fillId="0" borderId="12" xfId="0" applyNumberFormat="1" applyFont="1" applyBorder="1"/>
    <xf numFmtId="0" fontId="4" fillId="0" borderId="1" xfId="0" applyFont="1" applyBorder="1"/>
    <xf numFmtId="0" fontId="6" fillId="0" borderId="1" xfId="0" applyFont="1" applyFill="1" applyBorder="1"/>
    <xf numFmtId="0" fontId="0" fillId="0" borderId="1" xfId="0" applyBorder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7" fillId="0" borderId="7" xfId="0" applyFont="1" applyBorder="1"/>
    <xf numFmtId="164" fontId="7" fillId="0" borderId="8" xfId="2" applyNumberFormat="1" applyFont="1" applyBorder="1"/>
    <xf numFmtId="0" fontId="7" fillId="0" borderId="29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31" xfId="0" applyFont="1" applyBorder="1"/>
    <xf numFmtId="165" fontId="7" fillId="0" borderId="14" xfId="1" applyNumberFormat="1" applyFont="1" applyBorder="1" applyAlignment="1">
      <alignment horizontal="center"/>
    </xf>
    <xf numFmtId="164" fontId="7" fillId="0" borderId="12" xfId="2" applyNumberFormat="1" applyFont="1" applyBorder="1"/>
    <xf numFmtId="0" fontId="13" fillId="0" borderId="1" xfId="0" applyFont="1" applyBorder="1"/>
    <xf numFmtId="165" fontId="7" fillId="0" borderId="6" xfId="1" applyNumberFormat="1" applyFont="1" applyBorder="1" applyAlignment="1">
      <alignment readingOrder="1"/>
    </xf>
    <xf numFmtId="165" fontId="7" fillId="0" borderId="6" xfId="1" applyNumberFormat="1" applyFont="1" applyBorder="1" applyAlignment="1">
      <alignment readingOrder="2"/>
    </xf>
    <xf numFmtId="165" fontId="0" fillId="0" borderId="12" xfId="1" applyNumberFormat="1" applyFont="1" applyBorder="1"/>
    <xf numFmtId="165" fontId="0" fillId="0" borderId="32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2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33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34" xfId="1" applyNumberFormat="1" applyFont="1" applyBorder="1"/>
    <xf numFmtId="165" fontId="0" fillId="0" borderId="35" xfId="1" applyNumberFormat="1" applyFont="1" applyBorder="1"/>
    <xf numFmtId="165" fontId="0" fillId="0" borderId="36" xfId="1" applyNumberFormat="1" applyFont="1" applyBorder="1"/>
    <xf numFmtId="165" fontId="4" fillId="0" borderId="37" xfId="1" applyNumberFormat="1" applyFont="1" applyBorder="1"/>
    <xf numFmtId="165" fontId="4" fillId="0" borderId="34" xfId="1" applyNumberFormat="1" applyFont="1" applyBorder="1"/>
    <xf numFmtId="165" fontId="4" fillId="0" borderId="36" xfId="1" applyNumberFormat="1" applyFont="1" applyBorder="1"/>
    <xf numFmtId="165" fontId="0" fillId="0" borderId="5" xfId="1" applyNumberFormat="1" applyFont="1" applyBorder="1"/>
    <xf numFmtId="165" fontId="0" fillId="0" borderId="38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38" xfId="1" applyNumberFormat="1" applyFont="1" applyBorder="1"/>
    <xf numFmtId="165" fontId="4" fillId="0" borderId="39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/>
    </xf>
    <xf numFmtId="49" fontId="4" fillId="0" borderId="44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165" fontId="7" fillId="0" borderId="6" xfId="1" applyNumberFormat="1" applyFont="1" applyBorder="1" applyAlignment="1"/>
    <xf numFmtId="0" fontId="11" fillId="3" borderId="19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165" fontId="0" fillId="0" borderId="9" xfId="1" applyNumberFormat="1" applyFont="1" applyBorder="1" applyAlignment="1">
      <alignment readingOrder="2"/>
    </xf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49" fontId="4" fillId="0" borderId="41" xfId="1" applyNumberFormat="1" applyFont="1" applyBorder="1" applyAlignment="1">
      <alignment horizontal="center" vertical="center"/>
    </xf>
    <xf numFmtId="49" fontId="4" fillId="0" borderId="40" xfId="1" applyNumberFormat="1" applyFont="1" applyBorder="1" applyAlignment="1">
      <alignment horizontal="center" vertical="center"/>
    </xf>
    <xf numFmtId="49" fontId="4" fillId="0" borderId="42" xfId="1" applyNumberFormat="1" applyFont="1" applyBorder="1" applyAlignment="1">
      <alignment horizontal="center" vertical="center"/>
    </xf>
    <xf numFmtId="0" fontId="14" fillId="0" borderId="1" xfId="0" applyFont="1" applyBorder="1"/>
    <xf numFmtId="0" fontId="14" fillId="0" borderId="0" xfId="0" applyFont="1"/>
    <xf numFmtId="0" fontId="15" fillId="2" borderId="1" xfId="0" applyFont="1" applyFill="1" applyBorder="1" applyAlignment="1">
      <alignment horizontal="center" wrapText="1"/>
    </xf>
    <xf numFmtId="9" fontId="7" fillId="0" borderId="8" xfId="2" applyNumberFormat="1" applyFont="1" applyBorder="1"/>
    <xf numFmtId="9" fontId="7" fillId="0" borderId="30" xfId="2" applyNumberFormat="1" applyFont="1" applyBorder="1"/>
    <xf numFmtId="0" fontId="13" fillId="0" borderId="10" xfId="0" applyFont="1" applyBorder="1"/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35"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4" formatCode="0.0%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23" totalsRowShown="0" headerRowDxfId="34" dataDxfId="32" headerRowBorderDxfId="33" tableBorderDxfId="31" totalsRowBorderDxfId="30">
  <autoFilter ref="A3:O23" xr:uid="{40459C0C-8BE3-4349-817C-C32C2A69F611}"/>
  <sortState xmlns:xlrd2="http://schemas.microsoft.com/office/spreadsheetml/2017/richdata2" ref="A4:O23">
    <sortCondition ref="A3:A23"/>
  </sortState>
  <tableColumns count="15">
    <tableColumn id="1" xr3:uid="{7289026B-289A-430D-B029-2F65277F5A00}" name="יישוב" dataDxfId="14" totalsRowDxfId="29"/>
    <tableColumn id="2" xr3:uid="{89AD43AA-5D77-4010-9990-CE707527FB3D}" name="מיקום_x000a_בסדר_x000a_ההגרלות" dataDxfId="13" totalsRowDxfId="28"/>
    <tableColumn id="3" xr3:uid="{A63B2213-9752-4537-A56B-923510FBEAF9}" name="סה&quot;כ_x000a_דירות_x000a_בהגרלה" dataDxfId="12" totalsRowDxfId="27"/>
    <tableColumn id="4" xr3:uid="{ADF7C65F-C431-48B0-8988-A357BF0ECA6B}" name="דירות_x000a_לכלל_x000a_הציבור" dataDxfId="11" totalsRowDxfId="26">
      <calculatedColumnFormula>טבלה1[[#This Row],[סה"כ
דירות
בהגרלה]]-E4</calculatedColumnFormula>
    </tableColumn>
    <tableColumn id="5" xr3:uid="{753146F1-00E0-4E4D-A024-761A635E1C22}" name="דירות_x000a_לבני_x000a_מקום" dataDxfId="10" totalsRowDxfId="25"/>
    <tableColumn id="6" xr3:uid="{793847A6-0BBE-4F44-B398-9A63C25CD427}" name="מחיר לאחר הנחה" dataDxfId="9" totalsRowDxfId="24" dataCellStyle="Comma" totalsRowCellStyle="Comma"/>
    <tableColumn id="8" xr3:uid="{8B9599BE-64F9-4B61-9CD5-21E01298B74C}" name="הון עצמי נדרש" dataDxfId="8" totalsRowDxfId="23" dataCellStyle="Comma" totalsRow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7" totalsRowDxfId="22" dataCellStyle="Percent" totalsRow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6" totalsRowDxfId="21">
      <calculatedColumnFormula>VLOOKUP(A4,'מחירים שוק חופשי 2023'!A:C,3,0)-F4</calculatedColumnFormula>
    </tableColumn>
    <tableColumn id="15" xr3:uid="{3BE5CAAB-4EFB-42F3-992B-F568F7FCC97F}" name="מחיר לאחר הנחה2" dataDxfId="5" totalsRowDxfId="20" dataCellStyle="Comma" totalsRowCellStyle="Comma"/>
    <tableColumn id="14" xr3:uid="{B769BE86-15FA-4F22-96E9-EA2CF6DFE71F}" name="הון עצמי נדרש2" dataDxfId="4" totalsRowDxfId="19" dataCellStyle="Comma" totalsRow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3" totalsRowDxfId="18" dataCellStyle="Percent" totalsRow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2" totalsRowDxfId="17" dataCellStyle="Comma" totalsRowCellStyle="Comma">
      <calculatedColumnFormula>VLOOKUP(A4,'מחירים שוק חופשי 2023'!A:D,4,0)-J4</calculatedColumnFormula>
    </tableColumn>
    <tableColumn id="7" xr3:uid="{A5FECCDB-18D1-46CB-83B1-E8DE2C4AB587}" name="מענק" dataDxfId="1" totalsRowDxfId="16" dataCellStyle="Comma" totalsRowCellStyle="Comma"/>
    <tableColumn id="11" xr3:uid="{87541284-FEA1-40BC-BC45-D6B575FE4838}" name="אחוזי_x000a_זכייה_x000a_נכון_x000a_לעכשיו" dataDxfId="0" totalsRowDxfId="15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Q26"/>
  <sheetViews>
    <sheetView rightToLeft="1" tabSelected="1" zoomScale="109" zoomScaleNormal="115" workbookViewId="0">
      <selection activeCell="E13" sqref="E13"/>
    </sheetView>
  </sheetViews>
  <sheetFormatPr defaultColWidth="8.69921875" defaultRowHeight="14.4" x14ac:dyDescent="0.3"/>
  <cols>
    <col min="1" max="1" width="9.69921875" style="7" bestFit="1" customWidth="1"/>
    <col min="2" max="2" width="8.296875" style="7" bestFit="1" customWidth="1"/>
    <col min="3" max="3" width="7.69921875" style="7" bestFit="1" customWidth="1"/>
    <col min="4" max="4" width="7.19921875" style="7" bestFit="1" customWidth="1"/>
    <col min="5" max="5" width="6.3984375" style="7" bestFit="1" customWidth="1"/>
    <col min="6" max="6" width="13.796875" style="8" bestFit="1" customWidth="1"/>
    <col min="7" max="7" width="12.19921875" style="7" bestFit="1" customWidth="1"/>
    <col min="8" max="8" width="8.796875" style="9" bestFit="1" customWidth="1"/>
    <col min="9" max="9" width="9.19921875" style="7" bestFit="1" customWidth="1"/>
    <col min="10" max="10" width="10.3984375" style="7" bestFit="1" customWidth="1"/>
    <col min="11" max="12" width="8.796875" style="7" bestFit="1" customWidth="1"/>
    <col min="13" max="13" width="9.19921875" style="7" bestFit="1" customWidth="1"/>
    <col min="14" max="14" width="6.59765625" style="7" customWidth="1"/>
    <col min="15" max="15" width="7.09765625" style="10" customWidth="1"/>
    <col min="16" max="16" width="13.19921875" style="11" bestFit="1" customWidth="1"/>
    <col min="17" max="17" width="17.3984375" style="12" customWidth="1"/>
    <col min="18" max="16384" width="8.69921875" style="7"/>
  </cols>
  <sheetData>
    <row r="1" spans="1:17" s="1" customFormat="1" ht="23.25" customHeight="1" thickBot="1" x14ac:dyDescent="0.4">
      <c r="A1" s="41">
        <v>1</v>
      </c>
      <c r="B1" s="42">
        <v>2</v>
      </c>
      <c r="C1" s="91">
        <v>3</v>
      </c>
      <c r="D1" s="92"/>
      <c r="E1" s="93"/>
      <c r="F1" s="43">
        <v>4</v>
      </c>
      <c r="G1" s="43">
        <v>5</v>
      </c>
      <c r="H1" s="101">
        <v>6</v>
      </c>
      <c r="I1" s="102"/>
      <c r="J1" s="89">
        <v>4</v>
      </c>
      <c r="K1" s="88">
        <v>5</v>
      </c>
      <c r="L1" s="101">
        <v>6</v>
      </c>
      <c r="M1" s="103"/>
      <c r="N1" s="87">
        <v>7</v>
      </c>
      <c r="O1" s="44">
        <v>8</v>
      </c>
    </row>
    <row r="2" spans="1:17" s="15" customFormat="1" ht="30.75" customHeight="1" x14ac:dyDescent="0.35">
      <c r="A2" s="98"/>
      <c r="B2" s="99"/>
      <c r="C2" s="99"/>
      <c r="D2" s="99"/>
      <c r="E2" s="99"/>
      <c r="F2" s="94" t="s">
        <v>27</v>
      </c>
      <c r="G2" s="95"/>
      <c r="H2" s="95"/>
      <c r="I2" s="96"/>
      <c r="J2" s="97" t="s">
        <v>28</v>
      </c>
      <c r="K2" s="95"/>
      <c r="L2" s="95"/>
      <c r="M2" s="96"/>
      <c r="N2" s="99"/>
      <c r="O2" s="100"/>
    </row>
    <row r="3" spans="1:17" s="18" customFormat="1" ht="57.6" customHeight="1" x14ac:dyDescent="0.3">
      <c r="A3" s="32" t="s">
        <v>7</v>
      </c>
      <c r="B3" s="17" t="s">
        <v>18</v>
      </c>
      <c r="C3" s="17" t="s">
        <v>19</v>
      </c>
      <c r="D3" s="17" t="s">
        <v>20</v>
      </c>
      <c r="E3" s="20" t="s">
        <v>21</v>
      </c>
      <c r="F3" s="32" t="s">
        <v>13</v>
      </c>
      <c r="G3" s="17" t="s">
        <v>8</v>
      </c>
      <c r="H3" s="17" t="s">
        <v>12</v>
      </c>
      <c r="I3" s="33" t="s">
        <v>5</v>
      </c>
      <c r="J3" s="22" t="s">
        <v>14</v>
      </c>
      <c r="K3" s="17" t="s">
        <v>16</v>
      </c>
      <c r="L3" s="17" t="s">
        <v>17</v>
      </c>
      <c r="M3" s="33" t="s">
        <v>15</v>
      </c>
      <c r="N3" s="22" t="s">
        <v>6</v>
      </c>
      <c r="O3" s="33" t="s">
        <v>24</v>
      </c>
    </row>
    <row r="4" spans="1:17" x14ac:dyDescent="0.3">
      <c r="A4" s="45" t="s">
        <v>37</v>
      </c>
      <c r="B4" s="13">
        <v>15</v>
      </c>
      <c r="C4" s="13">
        <v>72</v>
      </c>
      <c r="D4" s="53">
        <f>טבלה1[[#This Row],[סה"כ
דירות
בהגרלה]]-E4</f>
        <v>30</v>
      </c>
      <c r="E4" s="21">
        <v>42</v>
      </c>
      <c r="F4" s="23">
        <v>550733</v>
      </c>
      <c r="G4" s="19">
        <f>IF(F4&gt;1800000,F4*25%,IF(F4&gt;1500000,F4-1350000,IF(F4&gt;1000000,F4*10%,IF(F4&lt;1000000,100000))))</f>
        <v>100000</v>
      </c>
      <c r="H4" s="16">
        <f>F4/VLOOKUP(A4,'מחירים שוק חופשי 2023'!A:C,3,0)-1</f>
        <v>0.3768324999999999</v>
      </c>
      <c r="I4" s="36">
        <f>VLOOKUP(A4,'מחירים שוק חופשי 2023'!A:C,3,0)-F4</f>
        <v>-150733</v>
      </c>
      <c r="J4" s="26">
        <v>675899.5</v>
      </c>
      <c r="K4" s="19">
        <f>IF(J4&gt;1800000,J4*25%,IF(J4&gt;1500000,J4-1350000,IF(J4&gt;1000000,J4*10%,IF(J4&lt;1000000,100000))))</f>
        <v>100000</v>
      </c>
      <c r="L4" s="16">
        <f>J4/VLOOKUP(A4,'מחירים שוק חופשי 2023'!A:D,4,0)-1</f>
        <v>0.35179899999999997</v>
      </c>
      <c r="M4" s="29">
        <f>VLOOKUP(A4,'מחירים שוק חופשי 2023'!A:D,4,0)-J4</f>
        <v>-175899.5</v>
      </c>
      <c r="N4" s="28" t="s">
        <v>1</v>
      </c>
      <c r="O4" s="110">
        <v>0.83</v>
      </c>
      <c r="P4" s="7"/>
      <c r="Q4" s="7"/>
    </row>
    <row r="5" spans="1:17" x14ac:dyDescent="0.3">
      <c r="A5" s="45" t="s">
        <v>4</v>
      </c>
      <c r="B5" s="13">
        <v>9</v>
      </c>
      <c r="C5" s="13">
        <v>735</v>
      </c>
      <c r="D5" s="53">
        <f>טבלה1[[#This Row],[סה"כ
דירות
בהגרלה]]-E5</f>
        <v>551</v>
      </c>
      <c r="E5" s="21">
        <v>184</v>
      </c>
      <c r="F5" s="23">
        <v>1543792.9115646258</v>
      </c>
      <c r="G5" s="19">
        <f>IF(F5&gt;1800000,F5*25%,IF(F5&gt;1500000,F5-1350000,IF(F5&gt;1000000,F5*10%,IF(F5&lt;1000000,100000))))</f>
        <v>193792.9115646258</v>
      </c>
      <c r="H5" s="16">
        <f>F5/VLOOKUP(A5,'מחירים שוק חופשי 2023'!A:C,3,0)-1</f>
        <v>-0.18231307650178719</v>
      </c>
      <c r="I5" s="36">
        <f>VLOOKUP(A5,'מחירים שוק חופשי 2023'!A:C,3,0)-F5</f>
        <v>344207.0884353742</v>
      </c>
      <c r="J5" s="54">
        <v>1916527.3224489796</v>
      </c>
      <c r="K5" s="19">
        <f>IF(J5&gt;1800000,J5*25%,IF(J5&gt;1500000,J5-1350000,IF(J5&gt;1000000,J5*10%,IF(J5&lt;1000000,100000))))</f>
        <v>479131.8306122449</v>
      </c>
      <c r="L5" s="16">
        <f>J5/VLOOKUP(A5,'מחירים שוק חופשי 2023'!A:D,4,0)-1</f>
        <v>-0.18791215150466967</v>
      </c>
      <c r="M5" s="29">
        <f>VLOOKUP(A5,'מחירים שוק חופשי 2023'!A:D,4,0)-J5</f>
        <v>443472.6775510204</v>
      </c>
      <c r="N5" s="28" t="s">
        <v>1</v>
      </c>
      <c r="O5" s="110">
        <v>0.12</v>
      </c>
      <c r="P5" s="7"/>
      <c r="Q5" s="7"/>
    </row>
    <row r="6" spans="1:17" x14ac:dyDescent="0.3">
      <c r="A6" s="45" t="s">
        <v>56</v>
      </c>
      <c r="B6" s="13">
        <v>19</v>
      </c>
      <c r="C6" s="13">
        <v>13</v>
      </c>
      <c r="D6" s="53">
        <f>טבלה1[[#This Row],[סה"כ
דירות
בהגרלה]]-E6</f>
        <v>10</v>
      </c>
      <c r="E6" s="21">
        <v>3</v>
      </c>
      <c r="F6" s="23">
        <v>944400</v>
      </c>
      <c r="G6" s="19">
        <f>IF(F6&gt;1800000,F6*25%,IF(F6&gt;1500000,F6-1350000,IF(F6&gt;1000000,F6*10%,IF(F6&lt;1000000,100000))))</f>
        <v>100000</v>
      </c>
      <c r="H6" s="16">
        <f>F6/VLOOKUP(A6,'מחירים שוק חופשי 2023'!A:C,3,0)-1</f>
        <v>-0.47533333333333339</v>
      </c>
      <c r="I6" s="36">
        <f>VLOOKUP(A6,'מחירים שוק חופשי 2023'!A:C,3,0)-F6</f>
        <v>855600</v>
      </c>
      <c r="J6" s="26">
        <v>1295400</v>
      </c>
      <c r="K6" s="19">
        <f>IF(J6&gt;1800000,J6*25%,IF(J6&gt;1500000,J6-1350000,IF(J6&gt;1000000,J6*10%,IF(J6&lt;1000000,100000))))</f>
        <v>129540</v>
      </c>
      <c r="L6" s="16">
        <f>J6/VLOOKUP(A6,'מחירים שוק חופשי 2023'!A:D,4,0)-1</f>
        <v>-0.42426666666666668</v>
      </c>
      <c r="M6" s="29">
        <f>VLOOKUP(A6,'מחירים שוק חופשי 2023'!A:D,4,0)-J6</f>
        <v>954600</v>
      </c>
      <c r="N6" s="28" t="s">
        <v>1</v>
      </c>
      <c r="O6" s="110">
        <v>0.01</v>
      </c>
      <c r="P6" s="7"/>
      <c r="Q6" s="7"/>
    </row>
    <row r="7" spans="1:17" x14ac:dyDescent="0.3">
      <c r="A7" s="45" t="s">
        <v>36</v>
      </c>
      <c r="B7" s="13">
        <v>4</v>
      </c>
      <c r="C7" s="13">
        <v>78</v>
      </c>
      <c r="D7" s="53">
        <f>טבלה1[[#This Row],[סה"כ
דירות
בהגרלה]]-E7</f>
        <v>58</v>
      </c>
      <c r="E7" s="21">
        <v>20</v>
      </c>
      <c r="F7" s="23">
        <v>737605</v>
      </c>
      <c r="G7" s="19">
        <f>IF(F7&gt;1800000,F7*25%,IF(F7&gt;1500000,F7-1350000,IF(F7&gt;1000000,F7*10%,IF(F7&lt;1000000,100000))))</f>
        <v>100000</v>
      </c>
      <c r="H7" s="16">
        <f>F7/VLOOKUP(A7,'מחירים שוק חופשי 2023'!A:C,3,0)-1</f>
        <v>-0.42374609375000005</v>
      </c>
      <c r="I7" s="36">
        <f>VLOOKUP(A7,'מחירים שוק חופשי 2023'!A:C,3,0)-F7</f>
        <v>542395</v>
      </c>
      <c r="J7" s="26">
        <v>905243</v>
      </c>
      <c r="K7" s="19">
        <f>IF(J7&gt;1800000,J7*25%,IF(J7&gt;1500000,J7-1350000,IF(J7&gt;1000000,J7*10%,IF(J7&lt;1000000,100000))))</f>
        <v>100000</v>
      </c>
      <c r="L7" s="16">
        <f>J7/VLOOKUP(A7,'מחירים שוק חופשי 2023'!A:D,4,0)-1</f>
        <v>-0.43422312500000004</v>
      </c>
      <c r="M7" s="29">
        <f>VLOOKUP(A7,'מחירים שוק חופשי 2023'!A:D,4,0)-J7</f>
        <v>694757</v>
      </c>
      <c r="N7" s="28" t="s">
        <v>1</v>
      </c>
      <c r="O7" s="110">
        <v>0.01</v>
      </c>
      <c r="P7" s="7"/>
      <c r="Q7" s="7"/>
    </row>
    <row r="8" spans="1:17" x14ac:dyDescent="0.3">
      <c r="A8" s="45" t="s">
        <v>35</v>
      </c>
      <c r="B8" s="13">
        <v>14</v>
      </c>
      <c r="C8" s="13">
        <v>96</v>
      </c>
      <c r="D8" s="53">
        <f>טבלה1[[#This Row],[סה"כ
דירות
בהגרלה]]-E8</f>
        <v>48</v>
      </c>
      <c r="E8" s="21">
        <v>48</v>
      </c>
      <c r="F8" s="23">
        <v>445946</v>
      </c>
      <c r="G8" s="19">
        <f>IF(F8&gt;1800000,F8*25%,IF(F8&gt;1500000,F8-1350000,IF(F8&gt;1000000,F8*10%,IF(F8&lt;1000000,100000))))</f>
        <v>100000</v>
      </c>
      <c r="H8" s="16">
        <f>F8/VLOOKUP(A8,'מחירים שוק חופשי 2023'!A:C,3,0)-1</f>
        <v>-0.3518226744186046</v>
      </c>
      <c r="I8" s="36">
        <f>VLOOKUP(A8,'מחירים שוק חופשי 2023'!A:C,3,0)-F8</f>
        <v>242054</v>
      </c>
      <c r="J8" s="26">
        <v>547297</v>
      </c>
      <c r="K8" s="19">
        <f>IF(J8&gt;1800000,J8*25%,IF(J8&gt;1500000,J8-1350000,IF(J8&gt;1000000,J8*10%,IF(J8&lt;1000000,100000))))</f>
        <v>100000</v>
      </c>
      <c r="L8" s="16">
        <f>J8/VLOOKUP(A8,'מחירים שוק חופשי 2023'!A:D,4,0)-1</f>
        <v>-0.36360813953488369</v>
      </c>
      <c r="M8" s="29">
        <f>VLOOKUP(A8,'מחירים שוק חופשי 2023'!A:D,4,0)-J8</f>
        <v>312703</v>
      </c>
      <c r="N8" s="28">
        <v>40000</v>
      </c>
      <c r="O8" s="110">
        <v>0.03</v>
      </c>
      <c r="P8" s="7"/>
      <c r="Q8" s="7"/>
    </row>
    <row r="9" spans="1:17" x14ac:dyDescent="0.3">
      <c r="A9" s="45" t="s">
        <v>3</v>
      </c>
      <c r="B9" s="13">
        <v>20</v>
      </c>
      <c r="C9" s="13">
        <v>173</v>
      </c>
      <c r="D9" s="53">
        <f>טבלה1[[#This Row],[סה"כ
דירות
בהגרלה]]-E9</f>
        <v>130</v>
      </c>
      <c r="E9" s="21">
        <v>43</v>
      </c>
      <c r="F9" s="23">
        <v>1296060</v>
      </c>
      <c r="G9" s="19">
        <f>IF(F9&gt;1800000,F9*25%,IF(F9&gt;1500000,F9-1350000,IF(F9&gt;1000000,F9*10%,IF(F9&lt;1000000,100000))))</f>
        <v>129606</v>
      </c>
      <c r="H9" s="16">
        <f>F9/VLOOKUP(A9,'מחירים שוק חופשי 2023'!A:C,3,0)-1</f>
        <v>-0.21735507246376806</v>
      </c>
      <c r="I9" s="36">
        <f>VLOOKUP(A9,'מחירים שוק חופשי 2023'!A:C,3,0)-F9</f>
        <v>359940</v>
      </c>
      <c r="J9" s="55">
        <v>1590620</v>
      </c>
      <c r="K9" s="19">
        <f>IF(J9&gt;1800000,J9*25%,IF(J9&gt;1500000,J9-1350000,IF(J9&gt;1000000,J9*10%,IF(J9&lt;1000000,100000))))</f>
        <v>240620</v>
      </c>
      <c r="L9" s="16">
        <f>J9/VLOOKUP(A9,'מחירים שוק חופשי 2023'!A:D,4,0)-1</f>
        <v>-0.23158454106280191</v>
      </c>
      <c r="M9" s="29">
        <f>VLOOKUP(A9,'מחירים שוק חופשי 2023'!A:D,4,0)-J9</f>
        <v>479380</v>
      </c>
      <c r="N9" s="28" t="s">
        <v>1</v>
      </c>
      <c r="O9" s="110">
        <v>0.04</v>
      </c>
      <c r="P9" s="7"/>
      <c r="Q9" s="7"/>
    </row>
    <row r="10" spans="1:17" x14ac:dyDescent="0.3">
      <c r="A10" s="45" t="s">
        <v>31</v>
      </c>
      <c r="B10" s="13">
        <v>6</v>
      </c>
      <c r="C10" s="13">
        <v>232</v>
      </c>
      <c r="D10" s="53">
        <f>טבלה1[[#This Row],[סה"כ
דירות
בהגרלה]]-E10</f>
        <v>174</v>
      </c>
      <c r="E10" s="21">
        <v>58</v>
      </c>
      <c r="F10" s="23">
        <v>1558737</v>
      </c>
      <c r="G10" s="19">
        <f>IF(F10&gt;1800000,F10*25%,IF(F10&gt;1500000,F10-1350000,IF(F10&gt;1000000,F10*10%,IF(F10&lt;1000000,100000))))</f>
        <v>208737</v>
      </c>
      <c r="H10" s="16">
        <f>F10/VLOOKUP(A10,'מחירים שוק חופשי 2023'!A:C,3,0)-1</f>
        <v>-0.35268397009966779</v>
      </c>
      <c r="I10" s="36">
        <f>VLOOKUP(A10,'מחירים שוק חופשי 2023'!A:C,3,0)-F10</f>
        <v>849263</v>
      </c>
      <c r="J10" s="26">
        <v>1981177</v>
      </c>
      <c r="K10" s="19">
        <f>IF(J10&gt;1800000,J10*25%,IF(J10&gt;1500000,J10-1350000,IF(J10&gt;1000000,J10*10%,IF(J10&lt;1000000,100000))))</f>
        <v>495294.25</v>
      </c>
      <c r="L10" s="16">
        <f>J10/VLOOKUP(A10,'מחירים שוק חופשי 2023'!A:D,4,0)-1</f>
        <v>-0.34180166112956811</v>
      </c>
      <c r="M10" s="29">
        <f>VLOOKUP(A10,'מחירים שוק חופשי 2023'!A:D,4,0)-J10</f>
        <v>1028823</v>
      </c>
      <c r="N10" s="28" t="s">
        <v>1</v>
      </c>
      <c r="O10" s="110">
        <v>0.02</v>
      </c>
      <c r="P10" s="7"/>
      <c r="Q10" s="7"/>
    </row>
    <row r="11" spans="1:17" x14ac:dyDescent="0.3">
      <c r="A11" s="45" t="s">
        <v>29</v>
      </c>
      <c r="B11" s="13">
        <v>11</v>
      </c>
      <c r="C11" s="13">
        <v>570</v>
      </c>
      <c r="D11" s="53">
        <f>טבלה1[[#This Row],[סה"כ
דירות
בהגרלה]]-E11</f>
        <v>285</v>
      </c>
      <c r="E11" s="21">
        <v>285</v>
      </c>
      <c r="F11" s="23">
        <v>504787</v>
      </c>
      <c r="G11" s="19">
        <f>IF(F11&gt;1800000,F11*25%,IF(F11&gt;1500000,F11-1350000,IF(F11&gt;1000000,F11*10%,IF(F11&lt;1000000,100000))))</f>
        <v>100000</v>
      </c>
      <c r="H11" s="16">
        <f>F11/VLOOKUP(A11,'מחירים שוק חופשי 2023'!A:C,3,0)-1</f>
        <v>-0.3495012886597938</v>
      </c>
      <c r="I11" s="36">
        <f>VLOOKUP(A11,'מחירים שוק חופשי 2023'!A:C,3,0)-F11</f>
        <v>271213</v>
      </c>
      <c r="J11" s="26">
        <v>619511</v>
      </c>
      <c r="K11" s="19">
        <f>IF(J11&gt;1800000,J11*25%,IF(J11&gt;1500000,J11-1350000,IF(J11&gt;1000000,J11*10%,IF(J11&lt;1000000,100000))))</f>
        <v>100000</v>
      </c>
      <c r="L11" s="16">
        <f>J11/VLOOKUP(A11,'מחירים שוק חופשי 2023'!A:D,4,0)-1</f>
        <v>-0.36132886597938141</v>
      </c>
      <c r="M11" s="29">
        <f>VLOOKUP(A11,'מחירים שוק חופשי 2023'!A:D,4,0)-J11</f>
        <v>350489</v>
      </c>
      <c r="N11" s="28">
        <v>40000</v>
      </c>
      <c r="O11" s="110">
        <v>0.3</v>
      </c>
      <c r="P11" s="7"/>
      <c r="Q11" s="7"/>
    </row>
    <row r="12" spans="1:17" x14ac:dyDescent="0.3">
      <c r="A12" s="45" t="s">
        <v>38</v>
      </c>
      <c r="B12" s="13">
        <v>17</v>
      </c>
      <c r="C12" s="13">
        <v>67</v>
      </c>
      <c r="D12" s="53">
        <f>טבלה1[[#This Row],[סה"כ
דירות
בהגרלה]]-E12</f>
        <v>17</v>
      </c>
      <c r="E12" s="21">
        <v>50</v>
      </c>
      <c r="F12" s="23">
        <v>588508.89552238805</v>
      </c>
      <c r="G12" s="19">
        <f>IF(F12&gt;1800000,F12*25%,IF(F12&gt;1500000,F12-1350000,IF(F12&gt;1000000,F12*10%,IF(F12&lt;1000000,100000))))</f>
        <v>100000</v>
      </c>
      <c r="H12" s="16" t="e">
        <f>F12/VLOOKUP(A12,'מחירים שוק חופשי 2023'!A:C,3,0)-1</f>
        <v>#VALUE!</v>
      </c>
      <c r="I12" s="36" t="e">
        <f>VLOOKUP(A12,'מחירים שוק חופשי 2023'!A:C,3,0)-F12</f>
        <v>#VALUE!</v>
      </c>
      <c r="J12" s="86">
        <v>722260.85074626864</v>
      </c>
      <c r="K12" s="19">
        <f>IF(J12&gt;1800000,J12*25%,IF(J12&gt;1500000,J12-1350000,IF(J12&gt;1000000,J12*10%,IF(J12&lt;1000000,100000))))</f>
        <v>100000</v>
      </c>
      <c r="L12" s="16" t="e">
        <f>J12/VLOOKUP(A12,'מחירים שוק חופשי 2023'!A:D,4,0)-1</f>
        <v>#VALUE!</v>
      </c>
      <c r="M12" s="29" t="e">
        <f>VLOOKUP(A12,'מחירים שוק חופשי 2023'!A:D,4,0)-J12</f>
        <v>#VALUE!</v>
      </c>
      <c r="N12" s="28" t="s">
        <v>1</v>
      </c>
      <c r="O12" s="110">
        <v>1</v>
      </c>
      <c r="P12" s="7"/>
      <c r="Q12" s="7"/>
    </row>
    <row r="13" spans="1:17" x14ac:dyDescent="0.3">
      <c r="A13" s="45" t="s">
        <v>34</v>
      </c>
      <c r="B13" s="13">
        <v>12</v>
      </c>
      <c r="C13" s="13">
        <v>133</v>
      </c>
      <c r="D13" s="53">
        <f>טבלה1[[#This Row],[סה"כ
דירות
בהגרלה]]-E13</f>
        <v>100</v>
      </c>
      <c r="E13" s="21">
        <v>33</v>
      </c>
      <c r="F13" s="23">
        <v>1099973</v>
      </c>
      <c r="G13" s="19">
        <f>IF(F13&gt;1800000,F13*25%,IF(F13&gt;1500000,F13-1350000,IF(F13&gt;1000000,F13*10%,IF(F13&lt;1000000,100000))))</f>
        <v>109997.3</v>
      </c>
      <c r="H13" s="16">
        <f>F13/VLOOKUP(A13,'מחירים שוק חופשי 2023'!A:C,3,0)-1</f>
        <v>-0.22318290960451981</v>
      </c>
      <c r="I13" s="36">
        <f>VLOOKUP(A13,'מחירים שוק חופשי 2023'!A:C,3,0)-F13</f>
        <v>316027</v>
      </c>
      <c r="J13" s="26">
        <v>1486330</v>
      </c>
      <c r="K13" s="19">
        <f>IF(J13&gt;1800000,J13*25%,IF(J13&gt;1500000,J13-1350000,IF(J13&gt;1000000,J13*10%,IF(J13&lt;1000000,100000))))</f>
        <v>148633</v>
      </c>
      <c r="L13" s="16">
        <f>J13/VLOOKUP(A13,'מחירים שוק חופשי 2023'!A:D,4,0)-1</f>
        <v>-0.16026553672316379</v>
      </c>
      <c r="M13" s="29">
        <f>VLOOKUP(A13,'מחירים שוק חופשי 2023'!A:D,4,0)-J13</f>
        <v>283670</v>
      </c>
      <c r="N13" s="28" t="s">
        <v>1</v>
      </c>
      <c r="O13" s="110">
        <v>0.03</v>
      </c>
      <c r="P13" s="7"/>
      <c r="Q13" s="7"/>
    </row>
    <row r="14" spans="1:17" x14ac:dyDescent="0.3">
      <c r="A14" s="45" t="s">
        <v>40</v>
      </c>
      <c r="B14" s="13">
        <v>1</v>
      </c>
      <c r="C14" s="13">
        <v>80</v>
      </c>
      <c r="D14" s="53">
        <f>טבלה1[[#This Row],[סה"כ
דירות
בהגרלה]]-E14</f>
        <v>60</v>
      </c>
      <c r="E14" s="21">
        <v>20</v>
      </c>
      <c r="F14" s="23">
        <v>1795184</v>
      </c>
      <c r="G14" s="19">
        <f>IF(F14&gt;1800000,F14*25%,IF(F14&gt;1500000,F14-1350000,IF(F14&gt;1000000,F14*10%,IF(F14&lt;1000000,100000))))</f>
        <v>445184</v>
      </c>
      <c r="H14" s="16">
        <f>F14/VLOOKUP(A14,'מחירים שוק חופשי 2023'!A:C,3,0)-1</f>
        <v>-0.33015522388059704</v>
      </c>
      <c r="I14" s="36">
        <f>VLOOKUP(A14,'מחירים שוק חופשי 2023'!A:C,3,0)-F14</f>
        <v>884816</v>
      </c>
      <c r="J14" s="26">
        <v>2316817</v>
      </c>
      <c r="K14" s="19">
        <f>IF(J14&gt;1800000,J14*25%,IF(J14&gt;1500000,J14-1350000,IF(J14&gt;1000000,J14*10%,IF(J14&lt;1000000,100000))))</f>
        <v>579204.25</v>
      </c>
      <c r="L14" s="16">
        <f>J14/VLOOKUP(A14,'מחירים שוק חופשי 2023'!A:D,4,0)-1</f>
        <v>-0.30841283582089551</v>
      </c>
      <c r="M14" s="29">
        <f>VLOOKUP(A14,'מחירים שוק חופשי 2023'!A:D,4,0)-J14</f>
        <v>1033183</v>
      </c>
      <c r="N14" s="28" t="s">
        <v>1</v>
      </c>
      <c r="O14" s="110">
        <v>0.01</v>
      </c>
      <c r="P14" s="7"/>
      <c r="Q14" s="7"/>
    </row>
    <row r="15" spans="1:17" x14ac:dyDescent="0.3">
      <c r="A15" s="45" t="s">
        <v>30</v>
      </c>
      <c r="B15" s="13">
        <v>13</v>
      </c>
      <c r="C15" s="13">
        <v>373</v>
      </c>
      <c r="D15" s="53">
        <f>טבלה1[[#This Row],[סה"כ
דירות
בהגרלה]]-E15</f>
        <v>279</v>
      </c>
      <c r="E15" s="21">
        <v>94</v>
      </c>
      <c r="F15" s="23">
        <v>740246.88203753356</v>
      </c>
      <c r="G15" s="19">
        <f>IF(F15&gt;1800000,F15*25%,IF(F15&gt;1500000,F15-1350000,IF(F15&gt;1000000,F15*10%,IF(F15&lt;1000000,100000))))</f>
        <v>100000</v>
      </c>
      <c r="H15" s="16">
        <f>F15/VLOOKUP(A15,'מחירים שוק חופשי 2023'!A:C,3,0)-1</f>
        <v>-0.15109302518631473</v>
      </c>
      <c r="I15" s="36">
        <f>VLOOKUP(A15,'מחירים שוק חופשי 2023'!A:C,3,0)-F15</f>
        <v>131753.11796246644</v>
      </c>
      <c r="J15" s="26">
        <v>908484.97587131371</v>
      </c>
      <c r="K15" s="19">
        <f>IF(J15&gt;1800000,J15*25%,IF(J15&gt;1500000,J15-1350000,IF(J15&gt;1000000,J15*10%,IF(J15&lt;1000000,100000))))</f>
        <v>100000</v>
      </c>
      <c r="L15" s="16">
        <f>J15/VLOOKUP(A15,'מחירים שוק חופשי 2023'!A:D,4,0)-1</f>
        <v>-0.16652754507218925</v>
      </c>
      <c r="M15" s="29">
        <f>VLOOKUP(A15,'מחירים שוק חופשי 2023'!A:D,4,0)-J15</f>
        <v>181515.02412868629</v>
      </c>
      <c r="N15" s="28" t="s">
        <v>1</v>
      </c>
      <c r="O15" s="110">
        <v>0.08</v>
      </c>
      <c r="P15" s="7"/>
      <c r="Q15" s="7"/>
    </row>
    <row r="16" spans="1:17" x14ac:dyDescent="0.3">
      <c r="A16" s="45" t="s">
        <v>39</v>
      </c>
      <c r="B16" s="13">
        <v>18</v>
      </c>
      <c r="C16" s="13">
        <v>46</v>
      </c>
      <c r="D16" s="53">
        <f>טבלה1[[#This Row],[סה"כ
דירות
בהגרלה]]-E16</f>
        <v>34</v>
      </c>
      <c r="E16" s="21">
        <v>12</v>
      </c>
      <c r="F16" s="23">
        <v>1216934.3478260869</v>
      </c>
      <c r="G16" s="19">
        <f>IF(F16&gt;1800000,F16*25%,IF(F16&gt;1500000,F16-1350000,IF(F16&gt;1000000,F16*10%,IF(F16&lt;1000000,100000))))</f>
        <v>121693.4347826087</v>
      </c>
      <c r="H16" s="16">
        <f>F16/VLOOKUP(A16,'מחירים שוק חופשי 2023'!A:C,3,0)-1</f>
        <v>-0.36352806076041477</v>
      </c>
      <c r="I16" s="36">
        <f>VLOOKUP(A16,'מחירים שוק חופשי 2023'!A:C,3,0)-F16</f>
        <v>695065.65217391308</v>
      </c>
      <c r="J16" s="26">
        <v>1607146.7608695652</v>
      </c>
      <c r="K16" s="19">
        <f>IF(J16&gt;1800000,J16*25%,IF(J16&gt;1500000,J16-1350000,IF(J16&gt;1000000,J16*10%,IF(J16&lt;1000000,100000))))</f>
        <v>257146.76086956519</v>
      </c>
      <c r="L16" s="16">
        <f>J16/VLOOKUP(A16,'מחירים שוק חופשי 2023'!A:D,4,0)-1</f>
        <v>-0.32755365653993085</v>
      </c>
      <c r="M16" s="29">
        <f>VLOOKUP(A16,'מחירים שוק חופשי 2023'!A:D,4,0)-J16</f>
        <v>782853.23913043481</v>
      </c>
      <c r="N16" s="28" t="s">
        <v>1</v>
      </c>
      <c r="O16" s="110">
        <v>0.02</v>
      </c>
      <c r="P16" s="7"/>
      <c r="Q16" s="7"/>
    </row>
    <row r="17" spans="1:17" x14ac:dyDescent="0.3">
      <c r="A17" s="45" t="s">
        <v>32</v>
      </c>
      <c r="B17" s="13">
        <v>10</v>
      </c>
      <c r="C17" s="13">
        <v>206</v>
      </c>
      <c r="D17" s="53">
        <f>טבלה1[[#This Row],[סה"כ
דירות
בהגרלה]]-E17</f>
        <v>134</v>
      </c>
      <c r="E17" s="21">
        <v>72</v>
      </c>
      <c r="F17" s="23">
        <v>854568</v>
      </c>
      <c r="G17" s="19">
        <f>IF(F17&gt;1800000,F17*25%,IF(F17&gt;1500000,F17-1350000,IF(F17&gt;1000000,F17*10%,IF(F17&lt;1000000,100000))))</f>
        <v>100000</v>
      </c>
      <c r="H17" s="16">
        <f>F17/VLOOKUP(A17,'מחירים שוק חופשי 2023'!A:C,3,0)-1</f>
        <v>-0.31525000000000003</v>
      </c>
      <c r="I17" s="36">
        <f>VLOOKUP(A17,'מחירים שוק חופשי 2023'!A:C,3,0)-F17</f>
        <v>393432</v>
      </c>
      <c r="J17" s="26">
        <v>1048788</v>
      </c>
      <c r="K17" s="19">
        <f>IF(J17&gt;1800000,J17*25%,IF(J17&gt;1500000,J17-1350000,IF(J17&gt;1000000,J17*10%,IF(J17&lt;1000000,100000))))</f>
        <v>104878.8</v>
      </c>
      <c r="L17" s="16">
        <f>J17/VLOOKUP(A17,'מחירים שוק חופשי 2023'!A:D,4,0)-1</f>
        <v>-0.32769999999999999</v>
      </c>
      <c r="M17" s="29">
        <f>VLOOKUP(A17,'מחירים שוק חופשי 2023'!A:D,4,0)-J17</f>
        <v>511212</v>
      </c>
      <c r="N17" s="28" t="s">
        <v>1</v>
      </c>
      <c r="O17" s="110">
        <v>0.03</v>
      </c>
      <c r="P17" s="7"/>
      <c r="Q17" s="7"/>
    </row>
    <row r="18" spans="1:17" x14ac:dyDescent="0.3">
      <c r="A18" s="45" t="s">
        <v>23</v>
      </c>
      <c r="B18" s="13">
        <v>7</v>
      </c>
      <c r="C18" s="13">
        <v>626</v>
      </c>
      <c r="D18" s="53">
        <f>טבלה1[[#This Row],[סה"כ
דירות
בהגרלה]]-E18</f>
        <v>469</v>
      </c>
      <c r="E18" s="21">
        <v>157</v>
      </c>
      <c r="F18" s="23">
        <v>876910</v>
      </c>
      <c r="G18" s="19">
        <f>IF(F18&gt;1800000,F18*25%,IF(F18&gt;1500000,F18-1350000,IF(F18&gt;1000000,F18*10%,IF(F18&lt;1000000,100000))))</f>
        <v>100000</v>
      </c>
      <c r="H18" s="16">
        <f>F18/VLOOKUP(A18,'מחירים שוק חופשי 2023'!A:C,3,0)-1</f>
        <v>-0.39439917127071822</v>
      </c>
      <c r="I18" s="36">
        <f>VLOOKUP(A18,'מחירים שוק חופשי 2023'!A:C,3,0)-F18</f>
        <v>571090</v>
      </c>
      <c r="J18" s="26">
        <v>1171188</v>
      </c>
      <c r="K18" s="19">
        <f>IF(J18&gt;1800000,J18*25%,IF(J18&gt;1500000,J18-1350000,IF(J18&gt;1000000,J18*10%,IF(J18&lt;1000000,100000))))</f>
        <v>117118.8</v>
      </c>
      <c r="L18" s="16">
        <f>J18/VLOOKUP(A18,'מחירים שוק חופשי 2023'!A:D,4,0)-1</f>
        <v>-0.35293480662983423</v>
      </c>
      <c r="M18" s="29">
        <f>VLOOKUP(A18,'מחירים שוק חופשי 2023'!A:D,4,0)-J18</f>
        <v>638812</v>
      </c>
      <c r="N18" s="28" t="s">
        <v>1</v>
      </c>
      <c r="O18" s="110">
        <v>0.12</v>
      </c>
      <c r="P18" s="7"/>
      <c r="Q18" s="7"/>
    </row>
    <row r="19" spans="1:17" x14ac:dyDescent="0.3">
      <c r="A19" s="45" t="s">
        <v>22</v>
      </c>
      <c r="B19" s="13">
        <v>8</v>
      </c>
      <c r="C19" s="13">
        <v>301</v>
      </c>
      <c r="D19" s="53">
        <f>טבלה1[[#This Row],[סה"כ
דירות
בהגרלה]]-E19</f>
        <v>226</v>
      </c>
      <c r="E19" s="21">
        <v>75</v>
      </c>
      <c r="F19" s="23">
        <v>1001646</v>
      </c>
      <c r="G19" s="19">
        <f>IF(F19&gt;1800000,F19*25%,IF(F19&gt;1500000,F19-1350000,IF(F19&gt;1000000,F19*10%,IF(F19&lt;1000000,100000))))</f>
        <v>100164.6</v>
      </c>
      <c r="H19" s="16">
        <f>F19/VLOOKUP(A19,'מחירים שוק חופשי 2023'!A:C,3,0)-1</f>
        <v>-0.35460953608247425</v>
      </c>
      <c r="I19" s="36">
        <f>VLOOKUP(A19,'מחירים שוק חופשי 2023'!A:C,3,0)-F19</f>
        <v>550354</v>
      </c>
      <c r="J19" s="26">
        <v>1365656</v>
      </c>
      <c r="K19" s="19">
        <f>IF(J19&gt;1800000,J19*25%,IF(J19&gt;1500000,J19-1350000,IF(J19&gt;1000000,J19*10%,IF(J19&lt;1000000,100000))))</f>
        <v>136565.6</v>
      </c>
      <c r="L19" s="16">
        <f>J19/VLOOKUP(A19,'מחירים שוק חופשי 2023'!A:D,4,0)-1</f>
        <v>-0.29605360824742266</v>
      </c>
      <c r="M19" s="29">
        <f>VLOOKUP(A19,'מחירים שוק חופשי 2023'!A:D,4,0)-J19</f>
        <v>574344</v>
      </c>
      <c r="N19" s="28" t="s">
        <v>1</v>
      </c>
      <c r="O19" s="110">
        <v>0.12</v>
      </c>
      <c r="P19" s="7"/>
      <c r="Q19" s="7"/>
    </row>
    <row r="20" spans="1:17" x14ac:dyDescent="0.3">
      <c r="A20" s="45" t="s">
        <v>33</v>
      </c>
      <c r="B20" s="13">
        <v>3</v>
      </c>
      <c r="C20" s="13">
        <v>164</v>
      </c>
      <c r="D20" s="53">
        <f>טבלה1[[#This Row],[סה"כ
דירות
בהגרלה]]-E20</f>
        <v>123</v>
      </c>
      <c r="E20" s="21">
        <v>41</v>
      </c>
      <c r="F20" s="23">
        <v>1607017.5</v>
      </c>
      <c r="G20" s="19">
        <f>IF(F20&gt;1800000,F20*25%,IF(F20&gt;1500000,F20-1350000,IF(F20&gt;1000000,F20*10%,IF(F20&lt;1000000,100000))))</f>
        <v>257017.5</v>
      </c>
      <c r="H20" s="16">
        <f>F20/VLOOKUP(A20,'מחירים שוק חופשי 2023'!A:C,3,0)-1</f>
        <v>-0.45708868243243239</v>
      </c>
      <c r="I20" s="36">
        <f>VLOOKUP(A20,'מחירים שוק חופשי 2023'!A:C,3,0)-F20</f>
        <v>1352982.5</v>
      </c>
      <c r="J20" s="26">
        <v>2040430.7317073171</v>
      </c>
      <c r="K20" s="19">
        <f>IF(J20&gt;1800000,J20*25%,IF(J20&gt;1500000,J20-1350000,IF(J20&gt;1000000,J20*10%,IF(J20&lt;1000000,100000))))</f>
        <v>510107.68292682926</v>
      </c>
      <c r="L20" s="16">
        <f>J20/VLOOKUP(A20,'מחירים שוק חופשי 2023'!A:D,4,0)-1</f>
        <v>-0.44853223467369807</v>
      </c>
      <c r="M20" s="29">
        <f>VLOOKUP(A20,'מחירים שוק חופשי 2023'!A:D,4,0)-J20</f>
        <v>1659569.2682926829</v>
      </c>
      <c r="N20" s="28" t="s">
        <v>1</v>
      </c>
      <c r="O20" s="46">
        <v>8.9999999999999993E-3</v>
      </c>
      <c r="P20" s="7"/>
      <c r="Q20" s="7"/>
    </row>
    <row r="21" spans="1:17" x14ac:dyDescent="0.3">
      <c r="A21" s="47" t="s">
        <v>2</v>
      </c>
      <c r="B21" s="13">
        <v>5</v>
      </c>
      <c r="C21" s="31">
        <v>250</v>
      </c>
      <c r="D21" s="53">
        <f>טבלה1[[#This Row],[סה"כ
דירות
בהגרלה]]-E21</f>
        <v>187</v>
      </c>
      <c r="E21" s="35">
        <v>63</v>
      </c>
      <c r="F21" s="23">
        <v>1384329.328</v>
      </c>
      <c r="G21" s="19">
        <f>IF(F21&gt;1800000,F21*25%,IF(F21&gt;1500000,F21-1350000,IF(F21&gt;1000000,F21*10%,IF(F21&lt;1000000,100000))))</f>
        <v>138432.93280000001</v>
      </c>
      <c r="H21" s="16">
        <f>F21/VLOOKUP(A21,'מחירים שוק חופשי 2023'!A:C,3,0)-1</f>
        <v>-0.37303925362318846</v>
      </c>
      <c r="I21" s="36">
        <f>VLOOKUP(A21,'מחירים שוק חופשי 2023'!A:C,3,0)-F21</f>
        <v>823670.67200000002</v>
      </c>
      <c r="J21" s="26">
        <v>1774726.824</v>
      </c>
      <c r="K21" s="19">
        <f>IF(J21&gt;1800000,J21*25%,IF(J21&gt;1500000,J21-1350000,IF(J21&gt;1000000,J21*10%,IF(J21&lt;1000000,100000))))</f>
        <v>424726.82400000002</v>
      </c>
      <c r="L21" s="16">
        <f>J21/VLOOKUP(A21,'מחירים שוק חופשי 2023'!A:D,4,0)-1</f>
        <v>-0.35698303478260873</v>
      </c>
      <c r="M21" s="29">
        <f>VLOOKUP(A21,'מחירים שוק חופשי 2023'!A:D,4,0)-J21</f>
        <v>985273.17599999998</v>
      </c>
      <c r="N21" s="28" t="s">
        <v>1</v>
      </c>
      <c r="O21" s="111">
        <v>0.01</v>
      </c>
    </row>
    <row r="22" spans="1:17" x14ac:dyDescent="0.3">
      <c r="A22" s="47" t="s">
        <v>0</v>
      </c>
      <c r="B22" s="13">
        <v>16</v>
      </c>
      <c r="C22" s="31">
        <v>337</v>
      </c>
      <c r="D22" s="53">
        <f>טבלה1[[#This Row],[סה"כ
דירות
בהגרלה]]-E22</f>
        <v>252</v>
      </c>
      <c r="E22" s="35">
        <v>85</v>
      </c>
      <c r="F22" s="23">
        <v>838553.96439169138</v>
      </c>
      <c r="G22" s="19">
        <f>IF(F22&gt;1800000,F22*25%,IF(F22&gt;1500000,F22-1350000,IF(F22&gt;1000000,F22*10%,IF(F22&lt;1000000,100000))))</f>
        <v>100000</v>
      </c>
      <c r="H22" s="16">
        <f>F22/VLOOKUP(A22,'מחירים שוק חופשי 2023'!A:C,3,0)-1</f>
        <v>-0.4208881461383347</v>
      </c>
      <c r="I22" s="36">
        <f>VLOOKUP(A22,'מחירים שוק חופשי 2023'!A:C,3,0)-F22</f>
        <v>609446.03560830862</v>
      </c>
      <c r="J22" s="26">
        <v>1029134.4688427299</v>
      </c>
      <c r="K22" s="19">
        <f>IF(J22&gt;1800000,J22*25%,IF(J22&gt;1500000,J22-1350000,IF(J22&gt;1000000,J22*10%,IF(J22&lt;1000000,100000))))</f>
        <v>102913.446884273</v>
      </c>
      <c r="L22" s="16">
        <f>J22/VLOOKUP(A22,'מחירים שוק חופשי 2023'!A:D,4,0)-1</f>
        <v>-0.43141742052887855</v>
      </c>
      <c r="M22" s="29">
        <f>VLOOKUP(A22,'מחירים שוק חופשי 2023'!A:D,4,0)-J22</f>
        <v>780865.53115727007</v>
      </c>
      <c r="N22" s="28">
        <v>40000</v>
      </c>
      <c r="O22" s="111">
        <v>0.11</v>
      </c>
    </row>
    <row r="23" spans="1:17" ht="15" thickBot="1" x14ac:dyDescent="0.35">
      <c r="A23" s="48" t="s">
        <v>57</v>
      </c>
      <c r="B23" s="13">
        <v>2</v>
      </c>
      <c r="C23" s="49">
        <v>81</v>
      </c>
      <c r="D23" s="112">
        <f>טבלה1[[#This Row],[סה"כ
דירות
בהגרלה]]-E23</f>
        <v>61</v>
      </c>
      <c r="E23" s="50">
        <v>20</v>
      </c>
      <c r="F23" s="24">
        <v>1595880</v>
      </c>
      <c r="G23" s="25">
        <f>IF(F23&gt;1800000,F23*25%,IF(F23&gt;1500000,F23-1350000,IF(F23&gt;1000000,F23*10%,IF(F23&lt;1000000,100000))))</f>
        <v>245880</v>
      </c>
      <c r="H23" s="34">
        <f>F23/VLOOKUP(A23,'מחירים שוק חופשי 2023'!A:C,3,0)-1</f>
        <v>-0.45939024390243899</v>
      </c>
      <c r="I23" s="37">
        <f>VLOOKUP(A23,'מחירים שוק חופשי 2023'!A:C,3,0)-F23</f>
        <v>1356120</v>
      </c>
      <c r="J23" s="27">
        <v>1958580</v>
      </c>
      <c r="K23" s="25">
        <f>IF(J23&gt;1800000,J23*25%,IF(J23&gt;1500000,J23-1350000,IF(J23&gt;1000000,J23*10%,IF(J23&lt;1000000,100000))))</f>
        <v>489645</v>
      </c>
      <c r="L23" s="34">
        <f>J23/VLOOKUP(A23,'מחירים שוק חופשי 2023'!A:D,4,0)-1</f>
        <v>-0.46921951219512192</v>
      </c>
      <c r="M23" s="30">
        <f>VLOOKUP(A23,'מחירים שוק חופשי 2023'!A:D,4,0)-J23</f>
        <v>1731420</v>
      </c>
      <c r="N23" s="51" t="s">
        <v>1</v>
      </c>
      <c r="O23" s="52">
        <v>7.0000000000000001E-3</v>
      </c>
    </row>
    <row r="26" spans="1:17" x14ac:dyDescent="0.3">
      <c r="N26" s="14"/>
    </row>
  </sheetData>
  <sheetProtection sort="0" autoFilter="0"/>
  <mergeCells count="7">
    <mergeCell ref="C1:E1"/>
    <mergeCell ref="F2:I2"/>
    <mergeCell ref="J2:M2"/>
    <mergeCell ref="A2:E2"/>
    <mergeCell ref="N2:O2"/>
    <mergeCell ref="H1:I1"/>
    <mergeCell ref="L1:M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84" t="s">
        <v>43</v>
      </c>
      <c r="B1" s="83" t="s">
        <v>42</v>
      </c>
      <c r="D1" s="104"/>
      <c r="E1" s="106"/>
      <c r="F1" s="105"/>
      <c r="G1" s="82"/>
      <c r="H1" s="104">
        <v>3</v>
      </c>
      <c r="I1" s="105"/>
      <c r="J1" s="82"/>
      <c r="K1" s="104">
        <v>4</v>
      </c>
      <c r="L1" s="105"/>
    </row>
    <row r="2" spans="1:12" x14ac:dyDescent="0.25">
      <c r="A2" s="81">
        <f>(I2+I3)/D2</f>
        <v>550733</v>
      </c>
      <c r="B2" s="80">
        <f>(L2+L3)/D2</f>
        <v>675899.5</v>
      </c>
      <c r="D2" s="76">
        <v>72</v>
      </c>
      <c r="E2" s="77" t="s">
        <v>37</v>
      </c>
      <c r="F2" s="74">
        <v>36</v>
      </c>
      <c r="H2" s="76">
        <v>535392</v>
      </c>
      <c r="I2" s="74">
        <f t="shared" ref="I2:I27" si="0">H2*F2</f>
        <v>19274112</v>
      </c>
      <c r="K2" s="76">
        <v>657072</v>
      </c>
      <c r="L2" s="74">
        <f t="shared" ref="L2:L27" si="1">K2*F2</f>
        <v>23654592</v>
      </c>
    </row>
    <row r="3" spans="1:12" ht="14.4" thickBot="1" x14ac:dyDescent="0.3">
      <c r="A3" s="61"/>
      <c r="B3" s="60"/>
      <c r="D3" s="58"/>
      <c r="E3" s="59"/>
      <c r="F3" s="56">
        <v>36</v>
      </c>
      <c r="H3" s="58">
        <v>566074</v>
      </c>
      <c r="I3" s="56">
        <f t="shared" si="0"/>
        <v>20378664</v>
      </c>
      <c r="K3" s="58">
        <v>694727</v>
      </c>
      <c r="L3" s="56">
        <f t="shared" si="1"/>
        <v>25010172</v>
      </c>
    </row>
    <row r="4" spans="1:12" x14ac:dyDescent="0.25">
      <c r="A4" s="79">
        <f>(I4+I5+I6)/D4</f>
        <v>1543792.9115646258</v>
      </c>
      <c r="B4" s="78">
        <f>(L4+L5+L6)/D4</f>
        <v>1916527.3224489796</v>
      </c>
      <c r="D4" s="76">
        <v>735</v>
      </c>
      <c r="E4" s="77" t="s">
        <v>4</v>
      </c>
      <c r="F4" s="74">
        <v>368</v>
      </c>
      <c r="H4" s="76">
        <v>1560977</v>
      </c>
      <c r="I4" s="74">
        <f t="shared" si="0"/>
        <v>574439536</v>
      </c>
      <c r="K4" s="76">
        <v>1915744</v>
      </c>
      <c r="L4" s="74">
        <f t="shared" si="1"/>
        <v>704993792</v>
      </c>
    </row>
    <row r="5" spans="1:12" x14ac:dyDescent="0.25">
      <c r="A5" s="67"/>
      <c r="B5" s="66"/>
      <c r="D5" s="64"/>
      <c r="E5" s="65"/>
      <c r="F5" s="62">
        <v>179</v>
      </c>
      <c r="H5" s="64">
        <v>1526562</v>
      </c>
      <c r="I5" s="62">
        <f t="shared" si="0"/>
        <v>273254598</v>
      </c>
      <c r="K5" s="64">
        <v>1894010</v>
      </c>
      <c r="L5" s="62">
        <f t="shared" si="1"/>
        <v>339027790</v>
      </c>
    </row>
    <row r="6" spans="1:12" ht="14.4" thickBot="1" x14ac:dyDescent="0.3">
      <c r="A6" s="61"/>
      <c r="B6" s="60"/>
      <c r="D6" s="58"/>
      <c r="E6" s="59"/>
      <c r="F6" s="56">
        <v>188</v>
      </c>
      <c r="H6" s="58">
        <v>1526562</v>
      </c>
      <c r="I6" s="56">
        <f t="shared" si="0"/>
        <v>286993656</v>
      </c>
      <c r="K6" s="58">
        <v>1939500</v>
      </c>
      <c r="L6" s="56">
        <f t="shared" si="1"/>
        <v>364626000</v>
      </c>
    </row>
    <row r="7" spans="1:12" x14ac:dyDescent="0.25">
      <c r="A7" s="85">
        <f>(I7+I8+I9)/D7</f>
        <v>588508.89552238805</v>
      </c>
      <c r="B7" s="78">
        <f>(L7+L8+L9)/D7</f>
        <v>722260.85074626864</v>
      </c>
      <c r="D7" s="76">
        <v>67</v>
      </c>
      <c r="E7" s="77" t="s">
        <v>38</v>
      </c>
      <c r="F7" s="74">
        <v>29</v>
      </c>
      <c r="H7" s="76">
        <v>564736</v>
      </c>
      <c r="I7" s="74">
        <f t="shared" si="0"/>
        <v>16377344</v>
      </c>
      <c r="K7" s="76">
        <v>693085</v>
      </c>
      <c r="L7" s="75">
        <f t="shared" si="1"/>
        <v>20099465</v>
      </c>
    </row>
    <row r="8" spans="1:12" x14ac:dyDescent="0.25">
      <c r="A8" s="67"/>
      <c r="B8" s="66"/>
      <c r="D8" s="64"/>
      <c r="E8" s="65"/>
      <c r="F8" s="62">
        <v>20</v>
      </c>
      <c r="H8" s="64">
        <v>605920</v>
      </c>
      <c r="I8" s="62">
        <f t="shared" si="0"/>
        <v>12118400</v>
      </c>
      <c r="K8" s="64">
        <v>743629</v>
      </c>
      <c r="L8" s="63">
        <f t="shared" si="1"/>
        <v>14872580</v>
      </c>
    </row>
    <row r="9" spans="1:12" ht="14.4" thickBot="1" x14ac:dyDescent="0.3">
      <c r="A9" s="61"/>
      <c r="B9" s="60"/>
      <c r="D9" s="58"/>
      <c r="E9" s="59"/>
      <c r="F9" s="56">
        <v>18</v>
      </c>
      <c r="H9" s="58">
        <v>607464</v>
      </c>
      <c r="I9" s="56">
        <f t="shared" si="0"/>
        <v>10934352</v>
      </c>
      <c r="K9" s="58">
        <v>745524</v>
      </c>
      <c r="L9" s="57">
        <f t="shared" si="1"/>
        <v>13419432</v>
      </c>
    </row>
    <row r="10" spans="1:12" x14ac:dyDescent="0.25">
      <c r="A10" s="79">
        <f>(I10+I11+I12+I13+I14)/D10</f>
        <v>740246.88203753356</v>
      </c>
      <c r="B10" s="78">
        <f>(L10+L11+L12+L13+L14)/D10</f>
        <v>908484.97587131371</v>
      </c>
      <c r="D10" s="76">
        <v>373</v>
      </c>
      <c r="E10" s="77" t="s">
        <v>30</v>
      </c>
      <c r="F10" s="74">
        <v>83</v>
      </c>
      <c r="H10" s="76">
        <v>712277</v>
      </c>
      <c r="I10" s="74">
        <f t="shared" si="0"/>
        <v>59118991</v>
      </c>
      <c r="K10" s="75">
        <v>874158</v>
      </c>
      <c r="L10" s="74">
        <f t="shared" si="1"/>
        <v>72555114</v>
      </c>
    </row>
    <row r="11" spans="1:12" x14ac:dyDescent="0.25">
      <c r="A11" s="67"/>
      <c r="B11" s="66"/>
      <c r="D11" s="64"/>
      <c r="E11" s="65"/>
      <c r="F11" s="62">
        <v>103</v>
      </c>
      <c r="H11" s="64">
        <v>749034</v>
      </c>
      <c r="I11" s="62">
        <f t="shared" si="0"/>
        <v>77150502</v>
      </c>
      <c r="K11" s="63">
        <v>919269</v>
      </c>
      <c r="L11" s="62">
        <f t="shared" si="1"/>
        <v>94684707</v>
      </c>
    </row>
    <row r="12" spans="1:12" x14ac:dyDescent="0.25">
      <c r="A12" s="67"/>
      <c r="B12" s="66"/>
      <c r="D12" s="64"/>
      <c r="E12" s="65"/>
      <c r="F12" s="62">
        <v>56</v>
      </c>
      <c r="H12" s="64">
        <v>747876</v>
      </c>
      <c r="I12" s="62">
        <f t="shared" si="0"/>
        <v>41881056</v>
      </c>
      <c r="K12" s="63">
        <v>917847</v>
      </c>
      <c r="L12" s="62">
        <f t="shared" si="1"/>
        <v>51399432</v>
      </c>
    </row>
    <row r="13" spans="1:12" x14ac:dyDescent="0.25">
      <c r="A13" s="67"/>
      <c r="B13" s="66"/>
      <c r="D13" s="64"/>
      <c r="E13" s="65"/>
      <c r="F13" s="62">
        <v>66</v>
      </c>
      <c r="H13" s="64">
        <v>747798</v>
      </c>
      <c r="I13" s="62">
        <f t="shared" si="0"/>
        <v>49354668</v>
      </c>
      <c r="K13" s="63">
        <v>917753</v>
      </c>
      <c r="L13" s="62">
        <f t="shared" si="1"/>
        <v>60571698</v>
      </c>
    </row>
    <row r="14" spans="1:12" ht="14.4" thickBot="1" x14ac:dyDescent="0.3">
      <c r="A14" s="61"/>
      <c r="B14" s="60"/>
      <c r="D14" s="58"/>
      <c r="E14" s="59"/>
      <c r="F14" s="56">
        <v>65</v>
      </c>
      <c r="H14" s="58">
        <v>747798</v>
      </c>
      <c r="I14" s="56">
        <f t="shared" si="0"/>
        <v>48606870</v>
      </c>
      <c r="K14" s="57">
        <v>917753</v>
      </c>
      <c r="L14" s="56">
        <f t="shared" si="1"/>
        <v>59653945</v>
      </c>
    </row>
    <row r="15" spans="1:12" x14ac:dyDescent="0.25">
      <c r="A15" s="79">
        <f>(I15+I16)/D15</f>
        <v>1216934.3478260869</v>
      </c>
      <c r="B15" s="78">
        <f>(L15+L16)/D15</f>
        <v>1607146.7608695652</v>
      </c>
      <c r="D15" s="76">
        <v>46</v>
      </c>
      <c r="E15" s="77" t="s">
        <v>39</v>
      </c>
      <c r="F15" s="74">
        <v>27</v>
      </c>
      <c r="H15" s="76">
        <v>1202135</v>
      </c>
      <c r="I15" s="74">
        <f t="shared" si="0"/>
        <v>32457645</v>
      </c>
      <c r="K15" s="75">
        <v>1588984</v>
      </c>
      <c r="L15" s="74">
        <f t="shared" si="1"/>
        <v>42902568</v>
      </c>
    </row>
    <row r="16" spans="1:12" ht="14.4" thickBot="1" x14ac:dyDescent="0.3">
      <c r="A16" s="61"/>
      <c r="B16" s="60"/>
      <c r="D16" s="58"/>
      <c r="E16" s="59"/>
      <c r="F16" s="56">
        <v>19</v>
      </c>
      <c r="H16" s="90">
        <v>1237965</v>
      </c>
      <c r="I16" s="56">
        <f t="shared" si="0"/>
        <v>23521335</v>
      </c>
      <c r="K16" s="57">
        <v>1632957</v>
      </c>
      <c r="L16" s="56">
        <f t="shared" si="1"/>
        <v>31026183</v>
      </c>
    </row>
    <row r="17" spans="1:12" x14ac:dyDescent="0.25">
      <c r="A17" s="79">
        <f>(I17+I18+I19)/D17</f>
        <v>1607017.5</v>
      </c>
      <c r="B17" s="78">
        <f>(L17+L18+L19)/D17</f>
        <v>2040430.7317073171</v>
      </c>
      <c r="D17" s="76">
        <v>164</v>
      </c>
      <c r="E17" s="77" t="s">
        <v>41</v>
      </c>
      <c r="F17" s="74">
        <v>61</v>
      </c>
      <c r="H17" s="76">
        <v>1583550</v>
      </c>
      <c r="I17" s="74">
        <f t="shared" si="0"/>
        <v>96596550</v>
      </c>
      <c r="K17" s="75">
        <v>2011630</v>
      </c>
      <c r="L17" s="74">
        <f t="shared" si="1"/>
        <v>122709430</v>
      </c>
    </row>
    <row r="18" spans="1:12" x14ac:dyDescent="0.25">
      <c r="A18" s="67"/>
      <c r="B18" s="66"/>
      <c r="D18" s="64"/>
      <c r="E18" s="65"/>
      <c r="F18" s="62">
        <v>61</v>
      </c>
      <c r="H18" s="64">
        <v>1583550</v>
      </c>
      <c r="I18" s="62">
        <f t="shared" si="0"/>
        <v>96596550</v>
      </c>
      <c r="K18" s="63">
        <v>2011630</v>
      </c>
      <c r="L18" s="62">
        <f t="shared" si="1"/>
        <v>122709430</v>
      </c>
    </row>
    <row r="19" spans="1:12" ht="14.4" thickBot="1" x14ac:dyDescent="0.3">
      <c r="A19" s="61"/>
      <c r="B19" s="60"/>
      <c r="D19" s="58"/>
      <c r="E19" s="59"/>
      <c r="F19" s="56">
        <v>42</v>
      </c>
      <c r="H19" s="58">
        <v>1675185</v>
      </c>
      <c r="I19" s="56">
        <f t="shared" si="0"/>
        <v>70357770</v>
      </c>
      <c r="K19" s="57">
        <v>2124090</v>
      </c>
      <c r="L19" s="56">
        <f t="shared" si="1"/>
        <v>89211780</v>
      </c>
    </row>
    <row r="20" spans="1:12" x14ac:dyDescent="0.25">
      <c r="A20" s="79">
        <f>(I20+I21+I22+I23)/D20</f>
        <v>1384329.328</v>
      </c>
      <c r="B20" s="78">
        <f>(L20+L21+L22+L23)/D20</f>
        <v>1774726.824</v>
      </c>
      <c r="D20" s="76">
        <v>250</v>
      </c>
      <c r="E20" s="77" t="s">
        <v>2</v>
      </c>
      <c r="F20" s="74">
        <v>37</v>
      </c>
      <c r="H20" s="76">
        <v>1690654</v>
      </c>
      <c r="I20" s="74">
        <f t="shared" si="0"/>
        <v>62554198</v>
      </c>
      <c r="K20" s="75">
        <v>2185270</v>
      </c>
      <c r="L20" s="74">
        <f t="shared" si="1"/>
        <v>80854990</v>
      </c>
    </row>
    <row r="21" spans="1:12" x14ac:dyDescent="0.25">
      <c r="A21" s="67"/>
      <c r="B21" s="66"/>
      <c r="D21" s="64"/>
      <c r="E21" s="65"/>
      <c r="F21" s="62">
        <v>29</v>
      </c>
      <c r="H21" s="64">
        <v>1331118</v>
      </c>
      <c r="I21" s="62">
        <f t="shared" si="0"/>
        <v>38602422</v>
      </c>
      <c r="K21" s="63">
        <v>1766892</v>
      </c>
      <c r="L21" s="62">
        <f t="shared" si="1"/>
        <v>51239868</v>
      </c>
    </row>
    <row r="22" spans="1:12" x14ac:dyDescent="0.25">
      <c r="A22" s="67"/>
      <c r="B22" s="66"/>
      <c r="D22" s="64"/>
      <c r="E22" s="65"/>
      <c r="F22" s="62">
        <v>74</v>
      </c>
      <c r="H22" s="64">
        <v>1331118</v>
      </c>
      <c r="I22" s="62">
        <f t="shared" si="0"/>
        <v>98502732</v>
      </c>
      <c r="K22" s="63">
        <v>1715842</v>
      </c>
      <c r="L22" s="62">
        <f t="shared" si="1"/>
        <v>126972308</v>
      </c>
    </row>
    <row r="23" spans="1:12" ht="14.4" thickBot="1" x14ac:dyDescent="0.3">
      <c r="A23" s="61"/>
      <c r="B23" s="60"/>
      <c r="D23" s="58"/>
      <c r="E23" s="59"/>
      <c r="F23" s="56">
        <v>110</v>
      </c>
      <c r="H23" s="58">
        <v>1331118</v>
      </c>
      <c r="I23" s="56">
        <f t="shared" si="0"/>
        <v>146422980</v>
      </c>
      <c r="K23" s="57">
        <v>1678314</v>
      </c>
      <c r="L23" s="56">
        <f t="shared" si="1"/>
        <v>184614540</v>
      </c>
    </row>
    <row r="24" spans="1:12" x14ac:dyDescent="0.25">
      <c r="A24" s="73">
        <f>(I24+I26+I25+I27)/D24</f>
        <v>838553.96439169138</v>
      </c>
      <c r="B24" s="72">
        <f>(L24+L25+L26+L27)/D24</f>
        <v>1029134.4688427299</v>
      </c>
      <c r="D24" s="70">
        <v>337</v>
      </c>
      <c r="E24" s="71" t="s">
        <v>0</v>
      </c>
      <c r="F24" s="68">
        <v>25</v>
      </c>
      <c r="H24" s="70">
        <v>853127</v>
      </c>
      <c r="I24" s="68">
        <f t="shared" si="0"/>
        <v>21328175</v>
      </c>
      <c r="K24" s="69">
        <v>1047019</v>
      </c>
      <c r="L24" s="68">
        <f t="shared" si="1"/>
        <v>26175475</v>
      </c>
    </row>
    <row r="25" spans="1:12" x14ac:dyDescent="0.25">
      <c r="A25" s="67"/>
      <c r="B25" s="66"/>
      <c r="D25" s="64"/>
      <c r="E25" s="65"/>
      <c r="F25" s="62">
        <v>139</v>
      </c>
      <c r="H25" s="64">
        <v>837219</v>
      </c>
      <c r="I25" s="62">
        <f t="shared" si="0"/>
        <v>116373441</v>
      </c>
      <c r="K25" s="63">
        <v>1027496</v>
      </c>
      <c r="L25" s="62">
        <f t="shared" si="1"/>
        <v>142821944</v>
      </c>
    </row>
    <row r="26" spans="1:12" x14ac:dyDescent="0.25">
      <c r="A26" s="67"/>
      <c r="B26" s="66"/>
      <c r="D26" s="64"/>
      <c r="E26" s="65"/>
      <c r="F26" s="62">
        <v>83</v>
      </c>
      <c r="H26" s="64">
        <v>839690</v>
      </c>
      <c r="I26" s="62">
        <f t="shared" si="0"/>
        <v>69694270</v>
      </c>
      <c r="K26" s="63">
        <v>1030529</v>
      </c>
      <c r="L26" s="62">
        <f t="shared" si="1"/>
        <v>85533907</v>
      </c>
    </row>
    <row r="27" spans="1:12" ht="14.4" thickBot="1" x14ac:dyDescent="0.3">
      <c r="A27" s="61"/>
      <c r="B27" s="60"/>
      <c r="D27" s="58"/>
      <c r="E27" s="59"/>
      <c r="F27" s="56">
        <v>90</v>
      </c>
      <c r="H27" s="58">
        <v>835520</v>
      </c>
      <c r="I27" s="56">
        <f t="shared" si="0"/>
        <v>75196800</v>
      </c>
      <c r="K27" s="57">
        <v>1025411</v>
      </c>
      <c r="L27" s="56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E21"/>
  <sheetViews>
    <sheetView rightToLeft="1" topLeftCell="A2" workbookViewId="0">
      <selection activeCell="A21" sqref="A21"/>
    </sheetView>
  </sheetViews>
  <sheetFormatPr defaultRowHeight="13.8" x14ac:dyDescent="0.25"/>
  <cols>
    <col min="1" max="1" width="13.19921875" bestFit="1" customWidth="1"/>
    <col min="2" max="2" width="6.59765625" bestFit="1" customWidth="1"/>
    <col min="3" max="3" width="10.19921875" bestFit="1" customWidth="1"/>
    <col min="4" max="4" width="10.3984375" bestFit="1" customWidth="1"/>
    <col min="5" max="5" width="15.5" style="108" customWidth="1"/>
  </cols>
  <sheetData>
    <row r="1" spans="1:5" ht="40.200000000000003" customHeight="1" x14ac:dyDescent="0.25">
      <c r="A1" s="38" t="s">
        <v>7</v>
      </c>
      <c r="B1" s="4" t="s">
        <v>11</v>
      </c>
      <c r="C1" s="6" t="s">
        <v>9</v>
      </c>
      <c r="D1" s="6" t="s">
        <v>10</v>
      </c>
      <c r="E1" s="109" t="s">
        <v>47</v>
      </c>
    </row>
    <row r="2" spans="1:5" x14ac:dyDescent="0.25">
      <c r="A2" s="39" t="s">
        <v>37</v>
      </c>
      <c r="B2" s="5">
        <v>5000</v>
      </c>
      <c r="C2" s="3">
        <f>'מחירים שוק חופשי 2023'!B2*80</f>
        <v>400000</v>
      </c>
      <c r="D2" s="3">
        <f>'מחירים שוק חופשי 2023'!B2*100</f>
        <v>500000</v>
      </c>
      <c r="E2" s="107" t="s">
        <v>55</v>
      </c>
    </row>
    <row r="3" spans="1:5" x14ac:dyDescent="0.25">
      <c r="A3" s="2" t="s">
        <v>4</v>
      </c>
      <c r="B3" s="5">
        <v>23600</v>
      </c>
      <c r="C3" s="3">
        <f>'מחירים שוק חופשי 2023'!B3*80</f>
        <v>1888000</v>
      </c>
      <c r="D3" s="3">
        <f>'מחירים שוק חופשי 2023'!B3*100</f>
        <v>2360000</v>
      </c>
      <c r="E3" s="107" t="s">
        <v>46</v>
      </c>
    </row>
    <row r="4" spans="1:5" x14ac:dyDescent="0.25">
      <c r="A4" s="2" t="s">
        <v>56</v>
      </c>
      <c r="B4" s="5">
        <v>22500</v>
      </c>
      <c r="C4" s="3">
        <f>'מחירים שוק חופשי 2023'!B4*80</f>
        <v>1800000</v>
      </c>
      <c r="D4" s="3">
        <f>'מחירים שוק חופשי 2023'!B4*100</f>
        <v>2250000</v>
      </c>
      <c r="E4" s="107" t="s">
        <v>46</v>
      </c>
    </row>
    <row r="5" spans="1:5" x14ac:dyDescent="0.25">
      <c r="A5" s="2" t="s">
        <v>36</v>
      </c>
      <c r="B5" s="5">
        <v>16000</v>
      </c>
      <c r="C5" s="3">
        <f>'מחירים שוק חופשי 2023'!B5*80</f>
        <v>1280000</v>
      </c>
      <c r="D5" s="3">
        <f>'מחירים שוק חופשי 2023'!B5*100</f>
        <v>1600000</v>
      </c>
      <c r="E5" s="107" t="s">
        <v>49</v>
      </c>
    </row>
    <row r="6" spans="1:5" x14ac:dyDescent="0.25">
      <c r="A6" s="39" t="s">
        <v>35</v>
      </c>
      <c r="B6" s="5">
        <v>8600</v>
      </c>
      <c r="C6" s="3">
        <f>'מחירים שוק חופשי 2023'!B6*80</f>
        <v>688000</v>
      </c>
      <c r="D6" s="3">
        <f>'מחירים שוק חופשי 2023'!B6*100</f>
        <v>860000</v>
      </c>
      <c r="E6" s="107" t="s">
        <v>46</v>
      </c>
    </row>
    <row r="7" spans="1:5" x14ac:dyDescent="0.25">
      <c r="A7" s="2" t="s">
        <v>3</v>
      </c>
      <c r="B7" s="5">
        <v>20700</v>
      </c>
      <c r="C7" s="3">
        <f>'מחירים שוק חופשי 2023'!B7*80</f>
        <v>1656000</v>
      </c>
      <c r="D7" s="3">
        <f>'מחירים שוק חופשי 2023'!B7*100</f>
        <v>2070000</v>
      </c>
      <c r="E7" s="107" t="s">
        <v>46</v>
      </c>
    </row>
    <row r="8" spans="1:5" x14ac:dyDescent="0.25">
      <c r="A8" s="39" t="s">
        <v>31</v>
      </c>
      <c r="B8" s="40">
        <v>30100</v>
      </c>
      <c r="C8" s="3">
        <f>'מחירים שוק חופשי 2023'!B8*80</f>
        <v>2408000</v>
      </c>
      <c r="D8" s="3">
        <f>'מחירים שוק חופשי 2023'!B8*100</f>
        <v>3010000</v>
      </c>
      <c r="E8" s="107" t="s">
        <v>46</v>
      </c>
    </row>
    <row r="9" spans="1:5" x14ac:dyDescent="0.25">
      <c r="A9" s="2" t="s">
        <v>29</v>
      </c>
      <c r="B9" s="5">
        <v>9700</v>
      </c>
      <c r="C9" s="3">
        <f>'מחירים שוק חופשי 2023'!B9*80</f>
        <v>776000</v>
      </c>
      <c r="D9" s="3">
        <f>'מחירים שוק חופשי 2023'!B9*100</f>
        <v>970000</v>
      </c>
      <c r="E9" s="107" t="s">
        <v>46</v>
      </c>
    </row>
    <row r="10" spans="1:5" x14ac:dyDescent="0.25">
      <c r="A10" s="2" t="s">
        <v>38</v>
      </c>
      <c r="B10" s="5" t="s">
        <v>50</v>
      </c>
      <c r="C10" s="3" t="e">
        <f>'מחירים שוק חופשי 2023'!B10*80</f>
        <v>#VALUE!</v>
      </c>
      <c r="D10" s="3" t="e">
        <f>'מחירים שוק חופשי 2023'!B10*100</f>
        <v>#VALUE!</v>
      </c>
      <c r="E10" s="107" t="s">
        <v>50</v>
      </c>
    </row>
    <row r="11" spans="1:5" x14ac:dyDescent="0.25">
      <c r="A11" s="2" t="s">
        <v>34</v>
      </c>
      <c r="B11" s="5">
        <v>17700</v>
      </c>
      <c r="C11" s="3">
        <f>'מחירים שוק חופשי 2023'!B11*80</f>
        <v>1416000</v>
      </c>
      <c r="D11" s="3">
        <f>'מחירים שוק חופשי 2023'!B11*100</f>
        <v>1770000</v>
      </c>
      <c r="E11" s="107" t="s">
        <v>46</v>
      </c>
    </row>
    <row r="12" spans="1:5" x14ac:dyDescent="0.25">
      <c r="A12" s="2" t="s">
        <v>44</v>
      </c>
      <c r="B12" s="5">
        <v>33500</v>
      </c>
      <c r="C12" s="3">
        <f>'מחירים שוק חופשי 2023'!B12*80</f>
        <v>2680000</v>
      </c>
      <c r="D12" s="3">
        <f>'מחירים שוק חופשי 2023'!B12*100</f>
        <v>3350000</v>
      </c>
      <c r="E12" s="107" t="s">
        <v>51</v>
      </c>
    </row>
    <row r="13" spans="1:5" x14ac:dyDescent="0.25">
      <c r="A13" s="39" t="s">
        <v>30</v>
      </c>
      <c r="B13" s="40">
        <v>10900</v>
      </c>
      <c r="C13" s="3">
        <f>'מחירים שוק חופשי 2023'!B13*80</f>
        <v>872000</v>
      </c>
      <c r="D13" s="3">
        <f>'מחירים שוק חופשי 2023'!B13*100</f>
        <v>1090000</v>
      </c>
      <c r="E13" s="107" t="s">
        <v>46</v>
      </c>
    </row>
    <row r="14" spans="1:5" x14ac:dyDescent="0.25">
      <c r="A14" s="2" t="s">
        <v>39</v>
      </c>
      <c r="B14" s="5">
        <v>23900</v>
      </c>
      <c r="C14" s="3">
        <f>'מחירים שוק חופשי 2023'!B14*80</f>
        <v>1912000</v>
      </c>
      <c r="D14" s="3">
        <f>'מחירים שוק חופשי 2023'!B14*100</f>
        <v>2390000</v>
      </c>
      <c r="E14" s="107" t="s">
        <v>46</v>
      </c>
    </row>
    <row r="15" spans="1:5" x14ac:dyDescent="0.25">
      <c r="A15" s="2" t="s">
        <v>32</v>
      </c>
      <c r="B15" s="5">
        <v>15600</v>
      </c>
      <c r="C15" s="3">
        <f>'מחירים שוק חופשי 2023'!B15*80</f>
        <v>1248000</v>
      </c>
      <c r="D15" s="3">
        <f>'מחירים שוק חופשי 2023'!B15*100</f>
        <v>1560000</v>
      </c>
      <c r="E15" s="107" t="s">
        <v>46</v>
      </c>
    </row>
    <row r="16" spans="1:5" x14ac:dyDescent="0.25">
      <c r="A16" s="2" t="s">
        <v>25</v>
      </c>
      <c r="B16" s="5">
        <v>18100</v>
      </c>
      <c r="C16" s="3">
        <f>'מחירים שוק חופשי 2023'!B16*80</f>
        <v>1448000</v>
      </c>
      <c r="D16" s="3">
        <f>'מחירים שוק חופשי 2023'!B16*100</f>
        <v>1810000</v>
      </c>
      <c r="E16" s="107" t="s">
        <v>52</v>
      </c>
    </row>
    <row r="17" spans="1:5" x14ac:dyDescent="0.25">
      <c r="A17" s="2" t="s">
        <v>26</v>
      </c>
      <c r="B17" s="5">
        <v>19400</v>
      </c>
      <c r="C17" s="3">
        <f>'מחירים שוק חופשי 2023'!B17*80</f>
        <v>1552000</v>
      </c>
      <c r="D17" s="3">
        <f>'מחירים שוק חופשי 2023'!B17*100</f>
        <v>1940000</v>
      </c>
      <c r="E17" s="107" t="s">
        <v>45</v>
      </c>
    </row>
    <row r="18" spans="1:5" x14ac:dyDescent="0.25">
      <c r="A18" s="2" t="s">
        <v>33</v>
      </c>
      <c r="B18" s="5">
        <v>37000</v>
      </c>
      <c r="C18" s="3">
        <f>'מחירים שוק חופשי 2023'!B18*80</f>
        <v>2960000</v>
      </c>
      <c r="D18" s="3">
        <f>'מחירים שוק חופשי 2023'!B18*100</f>
        <v>3700000</v>
      </c>
      <c r="E18" s="107" t="s">
        <v>48</v>
      </c>
    </row>
    <row r="19" spans="1:5" x14ac:dyDescent="0.25">
      <c r="A19" s="2" t="s">
        <v>2</v>
      </c>
      <c r="B19" s="5">
        <v>27600</v>
      </c>
      <c r="C19" s="3">
        <f>'מחירים שוק חופשי 2023'!B19*80</f>
        <v>2208000</v>
      </c>
      <c r="D19" s="3">
        <f>'מחירים שוק חופשי 2023'!B19*100</f>
        <v>2760000</v>
      </c>
      <c r="E19" s="107" t="s">
        <v>53</v>
      </c>
    </row>
    <row r="20" spans="1:5" x14ac:dyDescent="0.25">
      <c r="A20" s="2" t="s">
        <v>0</v>
      </c>
      <c r="B20" s="5">
        <v>18100</v>
      </c>
      <c r="C20" s="3">
        <f>'מחירים שוק חופשי 2023'!B20*80</f>
        <v>1448000</v>
      </c>
      <c r="D20" s="3">
        <f>'מחירים שוק חופשי 2023'!B20*100</f>
        <v>1810000</v>
      </c>
      <c r="E20" s="107" t="s">
        <v>46</v>
      </c>
    </row>
    <row r="21" spans="1:5" x14ac:dyDescent="0.25">
      <c r="A21" s="2" t="s">
        <v>57</v>
      </c>
      <c r="B21" s="5">
        <v>36900</v>
      </c>
      <c r="C21" s="3">
        <f>'מחירים שוק חופשי 2023'!B21*80</f>
        <v>2952000</v>
      </c>
      <c r="D21" s="3">
        <f>'מחירים שוק חופשי 2023'!B21*100</f>
        <v>3690000</v>
      </c>
      <c r="E21" s="107" t="s">
        <v>54</v>
      </c>
    </row>
  </sheetData>
  <autoFilter ref="A1:D21" xr:uid="{DF2C2F98-D550-46DE-958A-15CD8F1E0B22}">
    <sortState xmlns:xlrd2="http://schemas.microsoft.com/office/spreadsheetml/2017/richdata2" ref="A2:D21">
      <sortCondition ref="A1:A2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nachumi</cp:lastModifiedBy>
  <cp:lastPrinted>2024-01-22T11:19:48Z</cp:lastPrinted>
  <dcterms:created xsi:type="dcterms:W3CDTF">2024-01-09T23:06:58Z</dcterms:created>
  <dcterms:modified xsi:type="dcterms:W3CDTF">2024-05-27T22:22:18Z</dcterms:modified>
</cp:coreProperties>
</file>