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קרפמן\Downloads\"/>
    </mc:Choice>
  </mc:AlternateContent>
  <xr:revisionPtr revIDLastSave="0" documentId="13_ncr:1_{775D1FF2-BC96-494F-87B5-982036BE339F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חופשי'!$A$1:$R$53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3" i="4" l="1"/>
  <c r="N52" i="4"/>
  <c r="N44" i="4"/>
  <c r="N40" i="4"/>
  <c r="N36" i="4"/>
  <c r="N35" i="4"/>
  <c r="N34" i="4"/>
  <c r="N33" i="4"/>
  <c r="N31" i="4"/>
  <c r="N30" i="4"/>
  <c r="N28" i="4"/>
  <c r="N24" i="4"/>
  <c r="N23" i="4"/>
  <c r="N22" i="4"/>
  <c r="N20" i="4"/>
  <c r="N19" i="4"/>
  <c r="N17" i="4"/>
  <c r="N15" i="4"/>
  <c r="N12" i="4"/>
  <c r="N9" i="4"/>
  <c r="N8" i="4"/>
  <c r="N7" i="4"/>
  <c r="T10" i="2"/>
  <c r="T16" i="2"/>
  <c r="T18" i="2"/>
  <c r="T24" i="2"/>
  <c r="O5" i="2"/>
  <c r="O6" i="2"/>
  <c r="O7" i="2"/>
  <c r="O8" i="2"/>
  <c r="O9" i="2"/>
  <c r="O10" i="2"/>
  <c r="O11" i="2"/>
  <c r="O12" i="2"/>
  <c r="O13" i="2"/>
  <c r="O16" i="2"/>
  <c r="O17" i="2"/>
  <c r="O18" i="2"/>
  <c r="O19" i="2"/>
  <c r="O20" i="2"/>
  <c r="O21" i="2"/>
  <c r="O22" i="2"/>
  <c r="O23" i="2"/>
  <c r="O24" i="2"/>
  <c r="O25" i="2"/>
  <c r="O4" i="2"/>
  <c r="J5" i="2"/>
  <c r="J6" i="2"/>
  <c r="J7" i="2"/>
  <c r="J8" i="2"/>
  <c r="J9" i="2"/>
  <c r="J10" i="2"/>
  <c r="J11" i="2"/>
  <c r="J12" i="2"/>
  <c r="J13" i="2"/>
  <c r="J16" i="2"/>
  <c r="J17" i="2"/>
  <c r="J18" i="2"/>
  <c r="J19" i="2"/>
  <c r="J20" i="2"/>
  <c r="J21" i="2"/>
  <c r="J22" i="2"/>
  <c r="J23" i="2"/>
  <c r="J24" i="2"/>
  <c r="J25" i="2"/>
  <c r="J4" i="2"/>
  <c r="Q53" i="4"/>
  <c r="T23" i="2" s="1"/>
  <c r="P53" i="4"/>
  <c r="Q52" i="4"/>
  <c r="T25" i="2" s="1"/>
  <c r="P52" i="4"/>
  <c r="Q44" i="4"/>
  <c r="P44" i="4"/>
  <c r="Q40" i="4"/>
  <c r="T22" i="2" s="1"/>
  <c r="P40" i="4"/>
  <c r="Q36" i="4"/>
  <c r="T21" i="2" s="1"/>
  <c r="P36" i="4"/>
  <c r="Q35" i="4"/>
  <c r="T20" i="2" s="1"/>
  <c r="P35" i="4"/>
  <c r="Q34" i="4"/>
  <c r="T19" i="2" s="1"/>
  <c r="P34" i="4"/>
  <c r="Q33" i="4"/>
  <c r="P33" i="4"/>
  <c r="Q31" i="4"/>
  <c r="T17" i="2" s="1"/>
  <c r="P31" i="4"/>
  <c r="Q30" i="4"/>
  <c r="P30" i="4"/>
  <c r="Q28" i="4"/>
  <c r="T15" i="2" s="1"/>
  <c r="P28" i="4"/>
  <c r="Q24" i="4"/>
  <c r="T14" i="2" s="1"/>
  <c r="P24" i="4"/>
  <c r="Q23" i="4"/>
  <c r="T13" i="2" s="1"/>
  <c r="P23" i="4"/>
  <c r="Q22" i="4"/>
  <c r="T12" i="2" s="1"/>
  <c r="P22" i="4"/>
  <c r="Q20" i="4"/>
  <c r="T11" i="2" s="1"/>
  <c r="P20" i="4"/>
  <c r="Q19" i="4"/>
  <c r="P19" i="4"/>
  <c r="Q17" i="4"/>
  <c r="T9" i="2" s="1"/>
  <c r="P17" i="4"/>
  <c r="Q15" i="4"/>
  <c r="T8" i="2" s="1"/>
  <c r="P15" i="4"/>
  <c r="Q12" i="4"/>
  <c r="T7" i="2" s="1"/>
  <c r="P12" i="4"/>
  <c r="Q9" i="4"/>
  <c r="T6" i="2" s="1"/>
  <c r="P9" i="4"/>
  <c r="Q8" i="4"/>
  <c r="T5" i="2" s="1"/>
  <c r="P8" i="4"/>
  <c r="Q7" i="4"/>
  <c r="T4" i="2" s="1"/>
  <c r="P7" i="4"/>
  <c r="O53" i="4"/>
  <c r="O52" i="4"/>
  <c r="O44" i="4"/>
  <c r="O40" i="4"/>
  <c r="O36" i="4"/>
  <c r="O35" i="4"/>
  <c r="O34" i="4"/>
  <c r="O33" i="4"/>
  <c r="O31" i="4"/>
  <c r="O30" i="4"/>
  <c r="O28" i="4"/>
  <c r="O24" i="4"/>
  <c r="O23" i="4"/>
  <c r="O22" i="4"/>
  <c r="O20" i="4"/>
  <c r="O19" i="4"/>
  <c r="O17" i="4"/>
  <c r="O15" i="4"/>
  <c r="O12" i="4"/>
  <c r="O9" i="4"/>
  <c r="O8" i="4"/>
  <c r="O7" i="4"/>
  <c r="E7" i="4"/>
  <c r="K53" i="4"/>
  <c r="J53" i="4"/>
  <c r="I53" i="4"/>
  <c r="K52" i="4"/>
  <c r="J52" i="4"/>
  <c r="I52" i="4"/>
  <c r="K44" i="4"/>
  <c r="J44" i="4"/>
  <c r="I44" i="4"/>
  <c r="K40" i="4"/>
  <c r="J40" i="4"/>
  <c r="I40" i="4"/>
  <c r="K36" i="4"/>
  <c r="J36" i="4"/>
  <c r="I36" i="4"/>
  <c r="K35" i="4"/>
  <c r="J35" i="4"/>
  <c r="I35" i="4"/>
  <c r="K34" i="4"/>
  <c r="J34" i="4"/>
  <c r="I34" i="4"/>
  <c r="K33" i="4"/>
  <c r="J33" i="4"/>
  <c r="I33" i="4"/>
  <c r="K31" i="4"/>
  <c r="J31" i="4"/>
  <c r="I31" i="4"/>
  <c r="K30" i="4"/>
  <c r="J30" i="4"/>
  <c r="I30" i="4"/>
  <c r="K28" i="4"/>
  <c r="J28" i="4"/>
  <c r="I28" i="4"/>
  <c r="K24" i="4"/>
  <c r="J24" i="4"/>
  <c r="I24" i="4"/>
  <c r="K23" i="4"/>
  <c r="J23" i="4"/>
  <c r="I23" i="4"/>
  <c r="K22" i="4"/>
  <c r="J22" i="4"/>
  <c r="I22" i="4"/>
  <c r="K20" i="4"/>
  <c r="J20" i="4"/>
  <c r="I20" i="4"/>
  <c r="K19" i="4"/>
  <c r="J19" i="4"/>
  <c r="I19" i="4"/>
  <c r="K17" i="4"/>
  <c r="J17" i="4"/>
  <c r="I17" i="4"/>
  <c r="K15" i="4"/>
  <c r="J15" i="4"/>
  <c r="I15" i="4"/>
  <c r="K12" i="4"/>
  <c r="J12" i="4"/>
  <c r="I12" i="4"/>
  <c r="K9" i="4"/>
  <c r="J9" i="4"/>
  <c r="I9" i="4"/>
  <c r="K8" i="4"/>
  <c r="J8" i="4"/>
  <c r="I8" i="4"/>
  <c r="K7" i="4"/>
  <c r="J7" i="4"/>
  <c r="I7" i="4"/>
  <c r="M9" i="4"/>
  <c r="L9" i="4"/>
  <c r="M8" i="4"/>
  <c r="L8" i="4"/>
  <c r="M7" i="4"/>
  <c r="L7" i="4"/>
  <c r="M12" i="4"/>
  <c r="L12" i="4"/>
  <c r="L53" i="4"/>
  <c r="L52" i="4"/>
  <c r="L44" i="4"/>
  <c r="L40" i="4"/>
  <c r="L36" i="4"/>
  <c r="L35" i="4"/>
  <c r="L34" i="4"/>
  <c r="L33" i="4"/>
  <c r="L31" i="4"/>
  <c r="L30" i="4"/>
  <c r="L28" i="4"/>
  <c r="L24" i="4"/>
  <c r="L23" i="4"/>
  <c r="L22" i="4"/>
  <c r="L20" i="4"/>
  <c r="L19" i="4"/>
  <c r="L17" i="4"/>
  <c r="L15" i="4"/>
  <c r="M53" i="4"/>
  <c r="M52" i="4"/>
  <c r="M44" i="4"/>
  <c r="M40" i="4"/>
  <c r="M36" i="4"/>
  <c r="M35" i="4"/>
  <c r="M34" i="4"/>
  <c r="M33" i="4"/>
  <c r="M31" i="4"/>
  <c r="M30" i="4"/>
  <c r="M28" i="4"/>
  <c r="M24" i="4"/>
  <c r="M23" i="4"/>
  <c r="M22" i="4"/>
  <c r="M20" i="4"/>
  <c r="M19" i="4"/>
  <c r="M17" i="4"/>
  <c r="M15" i="4"/>
  <c r="G25" i="4" l="1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I23" i="2" s="1"/>
  <c r="E52" i="4"/>
  <c r="F52" i="4" s="1"/>
  <c r="I25" i="2" s="1"/>
  <c r="E44" i="4"/>
  <c r="G44" i="4" s="1"/>
  <c r="E40" i="4"/>
  <c r="G40" i="4" s="1"/>
  <c r="E36" i="4"/>
  <c r="F36" i="4" s="1"/>
  <c r="I21" i="2" s="1"/>
  <c r="E35" i="4"/>
  <c r="F35" i="4" s="1"/>
  <c r="I20" i="2" s="1"/>
  <c r="E34" i="4"/>
  <c r="G34" i="4" s="1"/>
  <c r="E33" i="4"/>
  <c r="F33" i="4" s="1"/>
  <c r="I18" i="2" s="1"/>
  <c r="E31" i="4"/>
  <c r="G31" i="4" s="1"/>
  <c r="N17" i="2" s="1"/>
  <c r="E30" i="4"/>
  <c r="G30" i="4" s="1"/>
  <c r="E28" i="4"/>
  <c r="F28" i="4" s="1"/>
  <c r="E24" i="4"/>
  <c r="F24" i="4" s="1"/>
  <c r="E23" i="4"/>
  <c r="G23" i="4" s="1"/>
  <c r="N13" i="2" s="1"/>
  <c r="E22" i="4"/>
  <c r="G22" i="4" s="1"/>
  <c r="E20" i="4"/>
  <c r="G20" i="4" s="1"/>
  <c r="N11" i="2" s="1"/>
  <c r="E19" i="4"/>
  <c r="G19" i="4" s="1"/>
  <c r="N10" i="2" s="1"/>
  <c r="E17" i="4"/>
  <c r="G17" i="4" s="1"/>
  <c r="N9" i="2" s="1"/>
  <c r="E15" i="4"/>
  <c r="G15" i="4" s="1"/>
  <c r="E12" i="4"/>
  <c r="F12" i="4" s="1"/>
  <c r="I7" i="2" s="1"/>
  <c r="E9" i="4"/>
  <c r="G9" i="4" s="1"/>
  <c r="E8" i="4"/>
  <c r="G8" i="4" s="1"/>
  <c r="N5" i="2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H8" i="4" l="1"/>
  <c r="S5" i="2" s="1"/>
  <c r="H31" i="4"/>
  <c r="S17" i="2" s="1"/>
  <c r="H52" i="4"/>
  <c r="G28" i="4"/>
  <c r="F8" i="4"/>
  <c r="I5" i="2" s="1"/>
  <c r="H24" i="4"/>
  <c r="G24" i="4"/>
  <c r="N16" i="2"/>
  <c r="N22" i="2"/>
  <c r="N24" i="2"/>
  <c r="N8" i="2"/>
  <c r="N6" i="2"/>
  <c r="H9" i="4"/>
  <c r="F9" i="4"/>
  <c r="I6" i="2" s="1"/>
  <c r="H12" i="4"/>
  <c r="H15" i="4"/>
  <c r="H35" i="4"/>
  <c r="F19" i="4"/>
  <c r="I10" i="2" s="1"/>
  <c r="H20" i="4"/>
  <c r="H44" i="4"/>
  <c r="H33" i="4"/>
  <c r="N19" i="2"/>
  <c r="H22" i="4"/>
  <c r="H34" i="4"/>
  <c r="H36" i="4"/>
  <c r="H23" i="4"/>
  <c r="H53" i="4"/>
  <c r="N12" i="2"/>
  <c r="G12" i="4"/>
  <c r="H19" i="4"/>
  <c r="H40" i="4"/>
  <c r="G33" i="4"/>
  <c r="H28" i="4"/>
  <c r="H17" i="4"/>
  <c r="F40" i="4"/>
  <c r="I22" i="2" s="1"/>
  <c r="F17" i="4"/>
  <c r="I9" i="2" s="1"/>
  <c r="H30" i="4"/>
  <c r="F34" i="4"/>
  <c r="I19" i="2" s="1"/>
  <c r="F15" i="4"/>
  <c r="I8" i="2" s="1"/>
  <c r="G36" i="4"/>
  <c r="F31" i="4"/>
  <c r="I17" i="2" s="1"/>
  <c r="G35" i="4"/>
  <c r="C26" i="2"/>
  <c r="F22" i="4"/>
  <c r="I12" i="2" s="1"/>
  <c r="F23" i="4"/>
  <c r="I13" i="2" s="1"/>
  <c r="F30" i="4"/>
  <c r="I16" i="2" s="1"/>
  <c r="G53" i="4"/>
  <c r="F44" i="4"/>
  <c r="I24" i="2" s="1"/>
  <c r="F20" i="4"/>
  <c r="I11" i="2" s="1"/>
  <c r="G52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S9" i="2" l="1"/>
  <c r="S15" i="2"/>
  <c r="S18" i="2"/>
  <c r="S24" i="2"/>
  <c r="S14" i="2"/>
  <c r="S22" i="2"/>
  <c r="S11" i="2"/>
  <c r="S10" i="2"/>
  <c r="S16" i="2"/>
  <c r="S13" i="2"/>
  <c r="S21" i="2"/>
  <c r="S6" i="2"/>
  <c r="S20" i="2"/>
  <c r="S23" i="2"/>
  <c r="S7" i="2"/>
  <c r="S25" i="2"/>
  <c r="S8" i="2"/>
  <c r="S12" i="2"/>
  <c r="S19" i="2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  <c r="H7" i="4"/>
  <c r="S4" i="2" s="1"/>
  <c r="G7" i="4" l="1"/>
  <c r="N4" i="2" s="1"/>
  <c r="F7" i="4"/>
  <c r="I4" i="2" s="1"/>
</calcChain>
</file>

<file path=xl/sharedStrings.xml><?xml version="1.0" encoding="utf-8"?>
<sst xmlns="http://schemas.openxmlformats.org/spreadsheetml/2006/main" count="155" uniqueCount="105">
  <si>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</si>
  <si>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</si>
  <si>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</si>
  <si>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</si>
  <si>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</si>
  <si>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</si>
  <si>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</si>
  <si>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</si>
  <si>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</si>
  <si>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</si>
  <si>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</si>
  <si>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</si>
  <si>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</si>
  <si>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</si>
  <si>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</si>
  <si>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</si>
  <si>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</si>
  <si>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</si>
  <si>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</si>
  <si>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</si>
  <si>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</si>
  <si>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</si>
  <si>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</si>
  <si>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</si>
  <si>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</si>
  <si>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</si>
  <si>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</si>
  <si>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</si>
  <si>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</si>
  <si>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</si>
  <si>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</si>
  <si>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</si>
  <si>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</si>
  <si>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</si>
  <si>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</si>
  <si>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</si>
  <si>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</si>
  <si>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</si>
  <si>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</si>
  <si>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</si>
  <si>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</si>
  <si>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</si>
  <si>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</si>
  <si>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</si>
  <si>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</si>
  <si>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</si>
  <si>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</si>
  <si>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</si>
  <si>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</si>
  <si>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</si>
  <si>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</si>
  <si>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</si>
  <si>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</si>
  <si>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</si>
  <si>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</si>
  <si>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</si>
  <si>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</si>
  <si>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</si>
  <si>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</si>
  <si>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</si>
  <si>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</si>
  <si>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</si>
  <si>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</si>
  <si>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</si>
  <si>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</si>
  <si>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</si>
  <si>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</si>
  <si>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</si>
  <si>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</si>
  <si>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</si>
  <si>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</si>
  <si>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</si>
  <si>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</si>
  <si>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</si>
  <si>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</si>
  <si>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</si>
  <si>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</si>
  <si>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</si>
  <si>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</si>
  <si>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</si>
  <si>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</si>
  <si>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</si>
  <si>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</si>
  <si>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</si>
  <si>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</si>
  <si>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</si>
  <si>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</si>
  <si>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</si>
  <si>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</si>
  <si>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</si>
  <si>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</si>
  <si>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</si>
  <si>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</si>
  <si>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</si>
  <si>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</si>
  <si>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</si>
  <si>
    <t>3 חד' שמאי</t>
  </si>
  <si>
    <t>4 חד' שמאי</t>
  </si>
  <si>
    <t>5 חד' שמאי</t>
  </si>
  <si>
    <t>3 חד' מדלן</t>
  </si>
  <si>
    <t>4 חד' מדלן</t>
  </si>
  <si>
    <t>5 חד' מדלן</t>
  </si>
  <si>
    <t>ממוצע 3</t>
  </si>
  <si>
    <t>ממוצע 4</t>
  </si>
  <si>
    <t>ממוצע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</si>
</sst>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  <font>
      <b/>
      <sz val="11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1"/>
      <color theme="5" tint="-0.249977111117893"/>
      <name val="Arial"/>
      <family val="2"/>
      <scheme val="minor"/>
    </font>
    <font>
      <sz val="10"/>
      <color theme="5" tint="-0.249977111117893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38" xfId="0" applyNumberFormat="1" applyFont="1" applyBorder="1"/>
    <xf numFmtId="43" fontId="0" fillId="0" borderId="0" xfId="1" applyFont="1"/>
    <xf numFmtId="0" fontId="11" fillId="0" borderId="37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0" fontId="18" fillId="2" borderId="39" xfId="0" applyFont="1" applyFill="1" applyBorder="1" applyAlignment="1">
      <alignment horizontal="center" vertical="center" wrapText="1"/>
    </xf>
    <xf numFmtId="165" fontId="2" fillId="0" borderId="6" xfId="1" applyNumberFormat="1" applyFont="1" applyBorder="1" applyAlignment="1">
      <alignment horizontal="center" vertical="center"/>
    </xf>
    <xf numFmtId="165" fontId="2" fillId="0" borderId="40" xfId="1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165" fontId="2" fillId="0" borderId="0" xfId="1" applyNumberFormat="1" applyFont="1" applyBorder="1" applyAlignment="1">
      <alignment vertical="center"/>
    </xf>
    <xf numFmtId="9" fontId="2" fillId="0" borderId="0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0" fontId="18" fillId="2" borderId="43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165" fontId="21" fillId="0" borderId="1" xfId="1" applyNumberFormat="1" applyFont="1" applyBorder="1"/>
    <xf numFmtId="165" fontId="22" fillId="0" borderId="1" xfId="1" applyNumberFormat="1" applyFont="1" applyBorder="1"/>
    <xf numFmtId="0" fontId="23" fillId="0" borderId="1" xfId="0" applyFont="1" applyBorder="1" applyAlignment="1">
      <alignment vertical="center" wrapText="1"/>
    </xf>
    <xf numFmtId="165" fontId="24" fillId="0" borderId="1" xfId="1" applyNumberFormat="1" applyFont="1" applyBorder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25"/>
    <tableColumn id="2" xr3:uid="{89AD43AA-5D77-4010-9990-CE707527FB3D}" name="מיקום_x000a_בסדר_x000a_ההגרלות" dataDxfId="24" totalsRowDxfId="23"/>
    <tableColumn id="3" xr3:uid="{A63B2213-9752-4537-A56B-923510FBEAF9}" name="סך דירות_x000a_הפתוחות גם_x000a_לציבור החרדי" totalsRowFunction="custom" dataDxfId="22" totalsRowDxfId="21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0" totalsRowDxfId="19"/>
    <tableColumn id="5" xr3:uid="{753146F1-00E0-4E4D-A024-761A635E1C22}" name="מתוכם_x000a_דירות_x000a_לבני_x000a_מקום" totalsRowFunction="sum" dataDxfId="18" totalsRowDxfId="17"/>
    <tableColumn id="6" xr3:uid="{793847A6-0BBE-4F44-B398-9A63C25CD427}" name="מחיר לאחר_x000a_הנחה ומענק" dataDxfId="16" dataCellStyle="Comma"/>
    <tableColumn id="8" xr3:uid="{8B9599BE-64F9-4B61-9CD5-21E01298B74C}" name="הון עצמי_x000a_נדרש" dataDxfId="15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14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3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2">
      <calculatedColumnFormula>VLOOKUP(A4,'מחירים שוק חופשי'!B:Q,14,0)-F4</calculatedColumnFormula>
    </tableColumn>
    <tableColumn id="15" xr3:uid="{3BE5CAAB-4EFB-42F3-992B-F568F7FCC97F}" name="מחיר לאחר_x000a_ההנחה ומענק" dataDxfId="11" dataCellStyle="Comma"/>
    <tableColumn id="14" xr3:uid="{B769BE86-15FA-4F22-96E9-EA2CF6DFE71F}" name="הון עצמי_x000a_הנדרש" dataDxfId="10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9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8" dataCellStyle="Percent">
      <calculatedColumnFormula>O4/K4</calculatedColumnFormula>
    </tableColumn>
    <tableColumn id="12" xr3:uid="{4CA75AD2-A15D-4D8F-B1B9-F18E7AA8D207}" name="רווח_x000a_לעומת_x000a_מחיר_x000a_השוק" dataDxfId="7" dataCellStyle="Comma">
      <calculatedColumnFormula>VLOOKUP(A4,'מחירים שוק חופשי'!B:Q,15,0)-K4</calculatedColumnFormula>
    </tableColumn>
    <tableColumn id="22" xr3:uid="{E0057D38-334A-4E3C-87ED-E17D98193BA7}" name="המחיר לאחר_x000a_ההנחה ומענק" dataDxfId="6" dataCellStyle="Comma"/>
    <tableColumn id="20" xr3:uid="{813ED081-F28F-4830-98C6-213878E96D0A}" name="הון העצמי_x000a_הנדרש" dataDxfId="5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4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3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2" dataCellStyle="Comma">
      <calculatedColumnFormula>VLOOKUP(A4,'מחירים שוק חופשי'!B:Q,16,0)-טבלה1[[#This Row],[המחיר לאחר
ההנחה ומענק]]</calculatedColumnFormula>
    </tableColumn>
    <tableColumn id="7" xr3:uid="{A5FECCDB-18D1-46CB-83B1-E8DE2C4AB587}" name="מענק" dataDxfId="1" dataCellStyle="Comma"/>
    <tableColumn id="11" xr3:uid="{87541284-FEA1-40BC-BC45-D6B575FE4838}" name="הערכת_x000a_סיכוי_x000a_זכייה_x000a_לחיצוני" dataDxfId="0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topLeftCell="A3" zoomScale="53" zoomScaleNormal="70" workbookViewId="0">
      <selection activeCell="O13" sqref="O13"/>
    </sheetView>
  </sheetViews>
  <sheetFormatPr defaultColWidth="8.69921875" defaultRowHeight="14.4" x14ac:dyDescent="0.3"/>
  <cols>
    <col min="1" max="1" width="20.19921875" style="88" bestFit="1" customWidth="1"/>
    <col min="2" max="2" width="13.3984375" style="4" bestFit="1" customWidth="1"/>
    <col min="3" max="3" width="16.3984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09765625" style="4" bestFit="1" customWidth="1"/>
    <col min="9" max="9" width="12.59765625" style="6" bestFit="1" customWidth="1"/>
    <col min="10" max="10" width="11.3984375" style="4" bestFit="1" customWidth="1"/>
    <col min="11" max="11" width="16.5" style="4" bestFit="1" customWidth="1"/>
    <col min="12" max="12" width="12.5" style="4" bestFit="1" customWidth="1"/>
    <col min="13" max="13" width="11.8984375" style="4" customWidth="1"/>
    <col min="14" max="14" width="13.09765625" style="4" bestFit="1" customWidth="1"/>
    <col min="15" max="15" width="11.8984375" style="4" bestFit="1" customWidth="1"/>
    <col min="16" max="16" width="16.5" style="4" bestFit="1" customWidth="1"/>
    <col min="17" max="17" width="13.5" style="4" bestFit="1" customWidth="1"/>
    <col min="18" max="18" width="15" style="4" customWidth="1"/>
    <col min="19" max="19" width="12.59765625" style="4" bestFit="1" customWidth="1"/>
    <col min="20" max="20" width="13" style="4" customWidth="1"/>
    <col min="21" max="21" width="10.59765625" style="4" hidden="1" customWidth="1"/>
    <col min="22" max="22" width="11" style="61" customWidth="1"/>
    <col min="23" max="23" width="17.3984375" style="7" customWidth="1"/>
    <col min="24" max="16384" width="8.69921875" style="4"/>
  </cols>
  <sheetData>
    <row r="1" spans="1:23" s="1" customFormat="1" ht="23.25" customHeight="1" thickBot="1" x14ac:dyDescent="0.4">
      <c r="A1" s="50">
        <v>1</v>
      </c>
      <c r="B1" s="49">
        <v>2</v>
      </c>
      <c r="C1" s="136">
        <v>3</v>
      </c>
      <c r="D1" s="137"/>
      <c r="E1" s="137"/>
      <c r="F1" s="50">
        <v>4</v>
      </c>
      <c r="G1" s="62">
        <v>5</v>
      </c>
      <c r="H1" s="47">
        <v>6</v>
      </c>
      <c r="I1" s="136">
        <v>7</v>
      </c>
      <c r="J1" s="146"/>
      <c r="K1" s="60">
        <v>4</v>
      </c>
      <c r="L1" s="47">
        <v>5</v>
      </c>
      <c r="M1" s="47">
        <v>6</v>
      </c>
      <c r="N1" s="136">
        <v>7</v>
      </c>
      <c r="O1" s="146"/>
      <c r="P1" s="60">
        <v>4</v>
      </c>
      <c r="Q1" s="47">
        <v>5</v>
      </c>
      <c r="R1" s="47">
        <v>6</v>
      </c>
      <c r="S1" s="136">
        <v>7</v>
      </c>
      <c r="T1" s="146"/>
      <c r="U1" s="48">
        <v>8</v>
      </c>
      <c r="V1" s="47">
        <v>9</v>
      </c>
    </row>
    <row r="2" spans="1:23" s="8" customFormat="1" ht="50.25" customHeight="1" thickBot="1" x14ac:dyDescent="0.4">
      <c r="A2" s="142"/>
      <c r="B2" s="143"/>
      <c r="C2" s="143"/>
      <c r="D2" s="143"/>
      <c r="E2" s="144"/>
      <c r="F2" s="138" t="s">
        <v>12</v>
      </c>
      <c r="G2" s="139"/>
      <c r="H2" s="139"/>
      <c r="I2" s="139"/>
      <c r="J2" s="140"/>
      <c r="K2" s="138" t="s">
        <v>87</v>
      </c>
      <c r="L2" s="139"/>
      <c r="M2" s="139"/>
      <c r="N2" s="139"/>
      <c r="O2" s="141"/>
      <c r="P2" s="147" t="s">
        <v>79</v>
      </c>
      <c r="Q2" s="148"/>
      <c r="R2" s="148"/>
      <c r="S2" s="148"/>
      <c r="T2" s="149"/>
      <c r="U2" s="142"/>
      <c r="V2" s="145"/>
    </row>
    <row r="3" spans="1:23" s="78" customFormat="1" ht="66" customHeight="1" x14ac:dyDescent="0.25">
      <c r="A3" s="89" t="s">
        <v>6</v>
      </c>
      <c r="B3" s="90" t="s">
        <v>9</v>
      </c>
      <c r="C3" s="90" t="s">
        <v>86</v>
      </c>
      <c r="D3" s="90" t="s">
        <v>91</v>
      </c>
      <c r="E3" s="91" t="s">
        <v>76</v>
      </c>
      <c r="F3" s="92" t="s">
        <v>75</v>
      </c>
      <c r="G3" s="90" t="s">
        <v>83</v>
      </c>
      <c r="H3" s="90" t="s">
        <v>93</v>
      </c>
      <c r="I3" s="90" t="s">
        <v>88</v>
      </c>
      <c r="J3" s="94" t="s">
        <v>4</v>
      </c>
      <c r="K3" s="93" t="s">
        <v>82</v>
      </c>
      <c r="L3" s="90" t="s">
        <v>81</v>
      </c>
      <c r="M3" s="90" t="s">
        <v>94</v>
      </c>
      <c r="N3" s="90" t="s">
        <v>89</v>
      </c>
      <c r="O3" s="94" t="s">
        <v>52</v>
      </c>
      <c r="P3" s="130" t="s">
        <v>84</v>
      </c>
      <c r="Q3" s="90" t="s">
        <v>85</v>
      </c>
      <c r="R3" s="90" t="s">
        <v>95</v>
      </c>
      <c r="S3" s="90" t="s">
        <v>90</v>
      </c>
      <c r="T3" s="94" t="s">
        <v>80</v>
      </c>
      <c r="U3" s="119" t="s">
        <v>5</v>
      </c>
      <c r="V3" s="95" t="s">
        <v>92</v>
      </c>
    </row>
    <row r="4" spans="1:23" ht="26.1" customHeight="1" x14ac:dyDescent="0.35">
      <c r="A4" s="96" t="s">
        <v>31</v>
      </c>
      <c r="B4" s="98">
        <v>5</v>
      </c>
      <c r="C4" s="99">
        <f>טבלה1[[#This Row],[מתוכם
דירות
לכלל
הציבור]]+טבלה1[[#This Row],[מתוכם
דירות
לבני
מקום]]</f>
        <v>77</v>
      </c>
      <c r="D4" s="100">
        <v>54</v>
      </c>
      <c r="E4" s="101">
        <v>23</v>
      </c>
      <c r="F4" s="102">
        <v>861000</v>
      </c>
      <c r="G4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17">
        <f>(טבלה1[[#This Row],[מחיר לאחר
הנחה ומענק]]-טבלה1[[#This Row],[הון עצמי
נדרש]])/100000*530</f>
        <v>4033.3</v>
      </c>
      <c r="I4" s="104">
        <f>טבלה1[[#This Row],[רווח
לעומת
מחיר
שוק]]/F4</f>
        <v>0.65346341463414637</v>
      </c>
      <c r="J4" s="122">
        <f>VLOOKUP(A4,'מחירים שוק חופשי'!B:Q,14,0)-F4</f>
        <v>562632</v>
      </c>
      <c r="K4" s="102">
        <v>1186836</v>
      </c>
      <c r="L4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03">
        <f>(טבלה1[[#This Row],[מחיר לאחר
ההנחה ומענק]]-טבלה1[[#This Row],[הון עצמי
הנדרש]])/100000*530</f>
        <v>5760.2307999999994</v>
      </c>
      <c r="N4" s="104">
        <f>O4/K4</f>
        <v>0.48538804013359893</v>
      </c>
      <c r="O4" s="105">
        <f>VLOOKUP(A4,'מחירים שוק חופשי'!B:Q,15,0)-K4</f>
        <v>576076</v>
      </c>
      <c r="P4" s="120">
        <v>1630000</v>
      </c>
      <c r="Q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03">
        <f>(טבלה1[[#This Row],[המחיר לאחר
ההנחה ומענק]]-טבלה1[[#This Row],[הון העצמי
הנדרש]])/100000*530</f>
        <v>7155</v>
      </c>
      <c r="S4" s="104">
        <f>טבלה1[[#This Row],[הרווח
לעומת
מחיר
השוק]]/טבלה1[[#This Row],[המחיר לאחר
ההנחה ומענק]]</f>
        <v>0.35192638036809815</v>
      </c>
      <c r="T4" s="105">
        <f>VLOOKUP(A4,'מחירים שוק חופשי'!B:Q,16,0)-טבלה1[[#This Row],[המחיר לאחר
ההנחה ומענק]]</f>
        <v>573640</v>
      </c>
      <c r="U4" s="120"/>
      <c r="V4" s="106">
        <v>2.3999999999999998E-3</v>
      </c>
      <c r="W4" s="4"/>
    </row>
    <row r="5" spans="1:23" ht="26.1" customHeight="1" x14ac:dyDescent="0.35">
      <c r="A5" s="96" t="s">
        <v>59</v>
      </c>
      <c r="B5" s="98">
        <v>16</v>
      </c>
      <c r="C5" s="99">
        <f>טבלה1[[#This Row],[מתוכם
דירות
לכלל
הציבור]]+טבלה1[[#This Row],[מתוכם
דירות
לבני
מקום]]</f>
        <v>530</v>
      </c>
      <c r="D5" s="100">
        <v>365</v>
      </c>
      <c r="E5" s="101">
        <v>165</v>
      </c>
      <c r="F5" s="102">
        <v>1556500</v>
      </c>
      <c r="G5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17">
        <f>(טבלה1[[#This Row],[מחיר לאחר
הנחה ומענק]]-טבלה1[[#This Row],[הון עצמי
נדרש]])/100000*530</f>
        <v>7155</v>
      </c>
      <c r="I5" s="104">
        <f>טבלה1[[#This Row],[רווח
לעומת
מחיר
שוק]]/F5</f>
        <v>0.33117378734339864</v>
      </c>
      <c r="J5" s="122">
        <f>VLOOKUP(A5,'מחירים שוק חופשי'!B:Q,14,0)-F5</f>
        <v>515472</v>
      </c>
      <c r="K5" s="107">
        <v>1920995</v>
      </c>
      <c r="L5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03">
        <f>(טבלה1[[#This Row],[מחיר לאחר
ההנחה ומענק]]-טבלה1[[#This Row],[הון עצמי
הנדרש]])/100000*530</f>
        <v>7635.9551249999995</v>
      </c>
      <c r="N5" s="104">
        <f t="shared" ref="N5:N25" si="0">O5/K5</f>
        <v>0.33607947964466334</v>
      </c>
      <c r="O5" s="105">
        <f>VLOOKUP(A5,'מחירים שוק חופשי'!B:Q,15,0)-K5</f>
        <v>645607</v>
      </c>
      <c r="P5" s="120">
        <v>2415000</v>
      </c>
      <c r="Q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03">
        <f>(טבלה1[[#This Row],[המחיר לאחר
ההנחה ומענק]]-טבלה1[[#This Row],[הון העצמי
הנדרש]])/100000*530</f>
        <v>9599.625</v>
      </c>
      <c r="S5" s="104">
        <f>טבלה1[[#This Row],[הרווח
לעומת
מחיר
השוק]]/טבלה1[[#This Row],[המחיר לאחר
ההנחה ומענק]]</f>
        <v>0.32846894409937888</v>
      </c>
      <c r="T5" s="105">
        <f>VLOOKUP(A5,'מחירים שוק חופשי'!B:Q,16,0)-טבלה1[[#This Row],[המחיר לאחר
ההנחה ומענק]]</f>
        <v>793252.5</v>
      </c>
      <c r="U5" s="120"/>
      <c r="V5" s="106">
        <v>7.7999999999999996E-3</v>
      </c>
      <c r="W5" s="4"/>
    </row>
    <row r="6" spans="1:23" ht="26.1" customHeight="1" x14ac:dyDescent="0.35">
      <c r="A6" s="96" t="s">
        <v>19</v>
      </c>
      <c r="B6" s="98">
        <v>3</v>
      </c>
      <c r="C6" s="99">
        <f>טבלה1[[#This Row],[מתוכם
דירות
לכלל
הציבור]]+טבלה1[[#This Row],[מתוכם
דירות
לבני
מקום]]</f>
        <v>131</v>
      </c>
      <c r="D6" s="100">
        <v>90</v>
      </c>
      <c r="E6" s="101">
        <v>41</v>
      </c>
      <c r="F6" s="102">
        <v>745000</v>
      </c>
      <c r="G6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17">
        <f>(טבלה1[[#This Row],[מחיר לאחר
הנחה ומענק]]-טבלה1[[#This Row],[הון עצמי
נדרש]])/100000*530</f>
        <v>3418.5</v>
      </c>
      <c r="I6" s="104">
        <f>טבלה1[[#This Row],[רווח
לעומת
מחיר
שוק]]/F6</f>
        <v>0.63764295302013418</v>
      </c>
      <c r="J6" s="122">
        <f>VLOOKUP(A6,'מחירים שוק חופשי'!B:Q,14,0)-F6</f>
        <v>475044</v>
      </c>
      <c r="K6" s="102">
        <v>1014665</v>
      </c>
      <c r="L6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03">
        <f>(טבלה1[[#This Row],[מחיר לאחר
ההנחה ומענק]]-טבלה1[[#This Row],[הון עצמי
הנדרש]])/100000*530</f>
        <v>4847.7244999999994</v>
      </c>
      <c r="N6" s="104">
        <f t="shared" si="0"/>
        <v>0.4882291199558475</v>
      </c>
      <c r="O6" s="105">
        <f>VLOOKUP(A6,'מחירים שוק חופשי'!B:Q,15,0)-K6</f>
        <v>495389</v>
      </c>
      <c r="P6" s="120">
        <v>1419000</v>
      </c>
      <c r="Q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03">
        <f>(טבלה1[[#This Row],[המחיר לאחר
ההנחה ומענק]]-טבלה1[[#This Row],[הון העצמי
הנדרש]])/100000*530</f>
        <v>6990.7</v>
      </c>
      <c r="S6" s="104">
        <f>טבלה1[[#This Row],[הרווח
לעומת
מחיר
השוק]]/טבלה1[[#This Row],[המחיר לאחר
ההנחה ומענק]]</f>
        <v>0.33020965468639885</v>
      </c>
      <c r="T6" s="105">
        <f>VLOOKUP(A6,'מחירים שוק חופשי'!B:Q,16,0)-טבלה1[[#This Row],[המחיר לאחר
ההנחה ומענק]]</f>
        <v>468567.5</v>
      </c>
      <c r="U6" s="120"/>
      <c r="V6" s="106">
        <v>8.0000000000000002E-3</v>
      </c>
      <c r="W6" s="4"/>
    </row>
    <row r="7" spans="1:23" ht="26.1" customHeight="1" x14ac:dyDescent="0.35">
      <c r="A7" s="96" t="s">
        <v>41</v>
      </c>
      <c r="B7" s="98">
        <v>4</v>
      </c>
      <c r="C7" s="99">
        <f>טבלה1[[#This Row],[מתוכם
דירות
לכלל
הציבור]]+טבלה1[[#This Row],[מתוכם
דירות
לבני
מקום]]</f>
        <v>123</v>
      </c>
      <c r="D7" s="100">
        <v>84</v>
      </c>
      <c r="E7" s="101">
        <v>39</v>
      </c>
      <c r="F7" s="102">
        <v>1218500</v>
      </c>
      <c r="G7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17">
        <f>(טבלה1[[#This Row],[מחיר לאחר
הנחה ומענק]]-טבלה1[[#This Row],[הון עצמי
נדרש]])/100000*530</f>
        <v>5928.05</v>
      </c>
      <c r="I7" s="104">
        <f>טבלה1[[#This Row],[רווח
לעומת
מחיר
שוק]]/F7</f>
        <v>0.51761674189577345</v>
      </c>
      <c r="J7" s="122">
        <f>VLOOKUP(A7,'מחירים שוק חופשי'!B:Q,14,0)-F7</f>
        <v>630716</v>
      </c>
      <c r="K7" s="102">
        <v>1590579</v>
      </c>
      <c r="L7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03">
        <f>(טבלה1[[#This Row],[מחיר לאחר
ההנחה ומענק]]-טבלה1[[#This Row],[הון עצמי
הנדרש]])/100000*530</f>
        <v>7155</v>
      </c>
      <c r="N7" s="104">
        <f t="shared" si="0"/>
        <v>0.44026546307979675</v>
      </c>
      <c r="O7" s="105">
        <f>VLOOKUP(A7,'מחירים שוק חופשי'!B:Q,15,0)-K7</f>
        <v>700277</v>
      </c>
      <c r="P7" s="120">
        <v>1988000</v>
      </c>
      <c r="Q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03">
        <f>(טבלה1[[#This Row],[המחיר לאחר
ההנחה ומענק]]-טבלה1[[#This Row],[הון העצמי
הנדרש]])/100000*530</f>
        <v>7902.3</v>
      </c>
      <c r="S7" s="104">
        <f>טבלה1[[#This Row],[הרווח
לעומת
מחיר
השוק]]/טבלה1[[#This Row],[המחיר לאחר
ההנחה ומענק]]</f>
        <v>0.44042756539235411</v>
      </c>
      <c r="T7" s="105">
        <f>VLOOKUP(A7,'מחירים שוק חופשי'!B:Q,16,0)-טבלה1[[#This Row],[המחיר לאחר
ההנחה ומענק]]</f>
        <v>875570</v>
      </c>
      <c r="U7" s="120"/>
      <c r="V7" s="106">
        <v>8.6999999999999994E-3</v>
      </c>
      <c r="W7" s="4"/>
    </row>
    <row r="8" spans="1:23" ht="26.1" customHeight="1" x14ac:dyDescent="0.35">
      <c r="A8" s="96" t="s">
        <v>13</v>
      </c>
      <c r="B8" s="98">
        <v>14</v>
      </c>
      <c r="C8" s="99">
        <f>טבלה1[[#This Row],[מתוכם
דירות
לכלל
הציבור]]+טבלה1[[#This Row],[מתוכם
דירות
לבני
מקום]]</f>
        <v>20</v>
      </c>
      <c r="D8" s="100">
        <v>12</v>
      </c>
      <c r="E8" s="101">
        <v>8</v>
      </c>
      <c r="F8" s="102">
        <v>519500</v>
      </c>
      <c r="G8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17">
        <f>(טבלה1[[#This Row],[מחיר לאחר
הנחה ומענק]]-טבלה1[[#This Row],[הון עצמי
נדרש]])/100000*530</f>
        <v>2223.3500000000004</v>
      </c>
      <c r="I8" s="104">
        <f>טבלה1[[#This Row],[רווח
לעומת
מחיר
שוק]]/F8</f>
        <v>0.79953031761308946</v>
      </c>
      <c r="J8" s="122">
        <f>VLOOKUP(A8,'מחירים שוק חופשי'!B:Q,14,0)-F8</f>
        <v>415356</v>
      </c>
      <c r="K8" s="102">
        <v>637519</v>
      </c>
      <c r="L8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03">
        <f>(טבלה1[[#This Row],[מחיר לאחר
ההנחה ומענק]]-טבלה1[[#This Row],[הון עצמי
הנדרש]])/100000*530</f>
        <v>2848.8507</v>
      </c>
      <c r="N8" s="104">
        <f t="shared" si="0"/>
        <v>0.81578274529857153</v>
      </c>
      <c r="O8" s="105">
        <f>VLOOKUP(A8,'מחירים שוק חופשי'!B:Q,15,0)-K8</f>
        <v>520077</v>
      </c>
      <c r="P8" s="120">
        <v>881500</v>
      </c>
      <c r="Q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03">
        <f>(טבלה1[[#This Row],[המחיר לאחר
ההנחה ומענק]]-טבלה1[[#This Row],[הון העצמי
הנדרש]])/100000*530</f>
        <v>4141.95</v>
      </c>
      <c r="S8" s="104">
        <f>טבלה1[[#This Row],[הרווח
לעומת
מחיר
השוק]]/טבלה1[[#This Row],[המחיר לאחר
ההנחה ומענק]]</f>
        <v>0.64151446398184908</v>
      </c>
      <c r="T8" s="105">
        <f>VLOOKUP(A8,'מחירים שוק חופשי'!B:Q,16,0)-טבלה1[[#This Row],[המחיר לאחר
ההנחה ומענק]]</f>
        <v>565495</v>
      </c>
      <c r="U8" s="120"/>
      <c r="V8" s="106">
        <v>3.5000000000000001E-3</v>
      </c>
      <c r="W8" s="4"/>
    </row>
    <row r="9" spans="1:23" ht="26.1" customHeight="1" x14ac:dyDescent="0.35">
      <c r="A9" s="96" t="s">
        <v>60</v>
      </c>
      <c r="B9" s="98">
        <v>11</v>
      </c>
      <c r="C9" s="99">
        <f>טבלה1[[#This Row],[מתוכם
דירות
לכלל
הציבור]]+טבלה1[[#This Row],[מתוכם
דירות
לבני
מקום]]</f>
        <v>63</v>
      </c>
      <c r="D9" s="100">
        <v>37</v>
      </c>
      <c r="E9" s="101">
        <v>26</v>
      </c>
      <c r="F9" s="102">
        <v>622500</v>
      </c>
      <c r="G9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17">
        <f>(טבלה1[[#This Row],[מחיר לאחר
הנחה ומענק]]-טבלה1[[#This Row],[הון עצמי
נדרש]])/100000*530</f>
        <v>2769.25</v>
      </c>
      <c r="I9" s="104">
        <f>טבלה1[[#This Row],[רווח
לעומת
מחיר
שוק]]/F9</f>
        <v>0.73875662650602414</v>
      </c>
      <c r="J9" s="122">
        <f>VLOOKUP(A9,'מחירים שוק חופשי'!B:Q,14,0)-F9</f>
        <v>459876</v>
      </c>
      <c r="K9" s="102">
        <v>764067</v>
      </c>
      <c r="L9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03">
        <f>(טבלה1[[#This Row],[מחיר לאחר
ההנחה ומענק]]-טבלה1[[#This Row],[הון עצמי
הנדרש]])/100000*530</f>
        <v>3519.5551</v>
      </c>
      <c r="N9" s="104">
        <f t="shared" si="0"/>
        <v>0.75497174985963278</v>
      </c>
      <c r="O9" s="105">
        <f>VLOOKUP(A9,'מחירים שוק חופשי'!B:Q,15,0)-K9</f>
        <v>576849</v>
      </c>
      <c r="P9" s="120">
        <v>1027250</v>
      </c>
      <c r="Q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03">
        <f>(טבלה1[[#This Row],[המחיר לאחר
ההנחה ומענק]]-טבלה1[[#This Row],[הון העצמי
הנדרש]])/100000*530</f>
        <v>4914.4250000000002</v>
      </c>
      <c r="S9" s="104">
        <f>טבלה1[[#This Row],[הרווח
לעומת
מחיר
השוק]]/טבלה1[[#This Row],[המחיר לאחר
ההנחה ומענק]]</f>
        <v>0.6316816743733269</v>
      </c>
      <c r="T9" s="105">
        <f>VLOOKUP(A9,'מחירים שוק חופשי'!B:Q,16,0)-טבלה1[[#This Row],[המחיר לאחר
ההנחה ומענק]]</f>
        <v>648895</v>
      </c>
      <c r="U9" s="120"/>
      <c r="V9" s="106">
        <v>7.6E-3</v>
      </c>
      <c r="W9" s="4"/>
    </row>
    <row r="10" spans="1:23" ht="26.1" customHeight="1" x14ac:dyDescent="0.35">
      <c r="A10" s="96" t="s">
        <v>61</v>
      </c>
      <c r="B10" s="98">
        <v>9</v>
      </c>
      <c r="C10" s="99">
        <f>טבלה1[[#This Row],[מתוכם
דירות
לכלל
הציבור]]+טבלה1[[#This Row],[מתוכם
דירות
לבני
מקום]]</f>
        <v>458</v>
      </c>
      <c r="D10" s="100">
        <v>313</v>
      </c>
      <c r="E10" s="101">
        <v>145</v>
      </c>
      <c r="F10" s="102">
        <v>1310000</v>
      </c>
      <c r="G10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17">
        <f>(טבלה1[[#This Row],[מחיר לאחר
הנחה ומענק]]-טבלה1[[#This Row],[הון עצמי
נדרש]])/100000*530</f>
        <v>6413</v>
      </c>
      <c r="I10" s="104">
        <f>טבלה1[[#This Row],[רווח
לעומת
מחיר
שוק]]/F10</f>
        <v>0.42964885496183208</v>
      </c>
      <c r="J10" s="122">
        <f>VLOOKUP(A10,'מחירים שוק חופשי'!B:Q,14,0)-F10</f>
        <v>562840</v>
      </c>
      <c r="K10" s="102">
        <v>1700000</v>
      </c>
      <c r="L10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03">
        <f>(טבלה1[[#This Row],[מחיר לאחר
ההנחה ומענק]]-טבלה1[[#This Row],[הון עצמי
הנדרש]])/100000*530</f>
        <v>7155</v>
      </c>
      <c r="N10" s="104">
        <f t="shared" si="0"/>
        <v>0.36467058823529414</v>
      </c>
      <c r="O10" s="105">
        <f>VLOOKUP(A10,'מחירים שוק חופשי'!B:Q,15,0)-K10</f>
        <v>619940</v>
      </c>
      <c r="P10" s="120">
        <v>2280000</v>
      </c>
      <c r="Q1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03">
        <f>(טבלה1[[#This Row],[המחיר לאחר
ההנחה ומענק]]-טבלה1[[#This Row],[הון העצמי
הנדרש]])/100000*530</f>
        <v>9063</v>
      </c>
      <c r="S10" s="104">
        <f>טבלה1[[#This Row],[הרווח
לעומת
מחיר
השוק]]/טבלה1[[#This Row],[המחיר לאחר
ההנחה ומענק]]</f>
        <v>0.27189692982456143</v>
      </c>
      <c r="T10" s="105">
        <f>VLOOKUP(A10,'מחירים שוק חופשי'!B:Q,16,0)-טבלה1[[#This Row],[המחיר לאחר
ההנחה ומענק]]</f>
        <v>619925</v>
      </c>
      <c r="U10" s="120"/>
      <c r="V10" s="106">
        <v>1.01E-2</v>
      </c>
      <c r="W10" s="4"/>
    </row>
    <row r="11" spans="1:23" ht="26.1" customHeight="1" x14ac:dyDescent="0.35">
      <c r="A11" s="96" t="s">
        <v>43</v>
      </c>
      <c r="B11" s="98">
        <v>15</v>
      </c>
      <c r="C11" s="99">
        <f>טבלה1[[#This Row],[מתוכם
דירות
לכלל
הציבור]]+טבלה1[[#This Row],[מתוכם
דירות
לבני
מקום]]</f>
        <v>74</v>
      </c>
      <c r="D11" s="100">
        <v>51</v>
      </c>
      <c r="E11" s="101">
        <v>23</v>
      </c>
      <c r="F11" s="102">
        <v>2157000</v>
      </c>
      <c r="G11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17">
        <f>(טבלה1[[#This Row],[מחיר לאחר
הנחה ומענק]]-טבלה1[[#This Row],[הון עצמי
נדרש]])/100000*530</f>
        <v>8574.0749999999989</v>
      </c>
      <c r="I11" s="104">
        <f>טבלה1[[#This Row],[רווח
לעומת
מחיר
שוק]]/F11</f>
        <v>0.1897561427909133</v>
      </c>
      <c r="J11" s="122">
        <f>VLOOKUP(A11,'מחירים שוק חופשי'!B:Q,14,0)-F11</f>
        <v>409304</v>
      </c>
      <c r="K11" s="102">
        <v>2629215</v>
      </c>
      <c r="L11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03">
        <f>(טבלה1[[#This Row],[מחיר לאחר
ההנחה ומענק]]-טבלה1[[#This Row],[הון עצמי
הנדרש]])/100000*530</f>
        <v>10451.129625000001</v>
      </c>
      <c r="N11" s="104">
        <f t="shared" si="0"/>
        <v>0.20738091027169706</v>
      </c>
      <c r="O11" s="105">
        <f>VLOOKUP(A11,'מחירים שוק חופשי'!B:Q,15,0)-K11</f>
        <v>545249</v>
      </c>
      <c r="P11" s="120">
        <v>3301125</v>
      </c>
      <c r="Q1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03">
        <f>(טבלה1[[#This Row],[המחיר לאחר
ההנחה ומענק]]-טבלה1[[#This Row],[הון העצמי
הנדרש]])/100000*530</f>
        <v>13121.971874999999</v>
      </c>
      <c r="S11" s="104">
        <f>טבלה1[[#This Row],[הרווח
לעומת
מחיר
השוק]]/טבלה1[[#This Row],[המחיר לאחר
ההנחה ומענק]]</f>
        <v>0.20203869892839563</v>
      </c>
      <c r="T11" s="105">
        <f>VLOOKUP(A11,'מחירים שוק חופשי'!B:Q,16,0)-טבלה1[[#This Row],[המחיר לאחר
ההנחה ומענק]]</f>
        <v>666955</v>
      </c>
      <c r="U11" s="120"/>
      <c r="V11" s="106">
        <v>6.7000000000000002E-3</v>
      </c>
      <c r="W11" s="4"/>
    </row>
    <row r="12" spans="1:23" ht="26.1" customHeight="1" x14ac:dyDescent="0.35">
      <c r="A12" s="96" t="s">
        <v>62</v>
      </c>
      <c r="B12" s="98">
        <v>1</v>
      </c>
      <c r="C12" s="99">
        <f>טבלה1[[#This Row],[מתוכם
דירות
לכלל
הציבור]]+טבלה1[[#This Row],[מתוכם
דירות
לבני
מקום]]</f>
        <v>164</v>
      </c>
      <c r="D12" s="100">
        <v>112</v>
      </c>
      <c r="E12" s="101">
        <v>52</v>
      </c>
      <c r="F12" s="102">
        <v>1659000</v>
      </c>
      <c r="G12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17">
        <f>(טבלה1[[#This Row],[מחיר לאחר
הנחה ומענק]]-טבלה1[[#This Row],[הון עצמי
נדרש]])/100000*530</f>
        <v>7155</v>
      </c>
      <c r="I12" s="104">
        <f>טבלה1[[#This Row],[רווח
לעומת
מחיר
שוק]]/F12</f>
        <v>0.48066063893911998</v>
      </c>
      <c r="J12" s="122">
        <f>VLOOKUP(A12,'מחירים שוק חופשי'!B:Q,14,0)-F12</f>
        <v>797416</v>
      </c>
      <c r="K12" s="102">
        <v>2036109</v>
      </c>
      <c r="L12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03">
        <f>(טבלה1[[#This Row],[מחיר לאחר
ההנחה ומענק]]-טבלה1[[#This Row],[הון עצמי
הנדרש]])/100000*530</f>
        <v>8093.5332749999998</v>
      </c>
      <c r="N12" s="104">
        <f t="shared" si="0"/>
        <v>0.49405360911424684</v>
      </c>
      <c r="O12" s="105">
        <f>VLOOKUP(A12,'מחירים שוק חופשי'!B:Q,15,0)-K12</f>
        <v>1005947</v>
      </c>
      <c r="P12" s="120">
        <v>2545000</v>
      </c>
      <c r="Q1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03">
        <f>(טבלה1[[#This Row],[המחיר לאחר
ההנחה ומענק]]-טבלה1[[#This Row],[הון העצמי
הנדרש]])/100000*530</f>
        <v>10116.375</v>
      </c>
      <c r="S12" s="104">
        <f>טבלה1[[#This Row],[הרווח
לעומת
מחיר
השוק]]/טבלה1[[#This Row],[המחיר לאחר
ההנחה ומענק]]</f>
        <v>0.49413359528487227</v>
      </c>
      <c r="T12" s="105">
        <f>VLOOKUP(A12,'מחירים שוק חופשי'!B:Q,16,0)-טבלה1[[#This Row],[המחיר לאחר
ההנחה ומענק]]</f>
        <v>1257570</v>
      </c>
      <c r="U12" s="120"/>
      <c r="V12" s="106">
        <v>1.1599999999999999E-2</v>
      </c>
      <c r="W12" s="4"/>
    </row>
    <row r="13" spans="1:23" ht="26.1" customHeight="1" x14ac:dyDescent="0.35">
      <c r="A13" s="96" t="s">
        <v>63</v>
      </c>
      <c r="B13" s="98">
        <v>1</v>
      </c>
      <c r="C13" s="99">
        <f>טבלה1[[#This Row],[מתוכם
דירות
לכלל
הציבור]]+טבלה1[[#This Row],[מתוכם
דירות
לבני
מקום]]</f>
        <v>29</v>
      </c>
      <c r="D13" s="100">
        <v>20</v>
      </c>
      <c r="E13" s="101">
        <v>9</v>
      </c>
      <c r="F13" s="102">
        <v>2284500</v>
      </c>
      <c r="G13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17">
        <f>(טבלה1[[#This Row],[מחיר לאחר
הנחה ומענק]]-טבלה1[[#This Row],[הון עצמי
נדרש]])/100000*530</f>
        <v>9080.8874999999989</v>
      </c>
      <c r="I13" s="104">
        <f>טבלה1[[#This Row],[רווח
לעומת
מחיר
שוק]]/F13</f>
        <v>0.36370146640402712</v>
      </c>
      <c r="J13" s="122">
        <f>VLOOKUP(A13,'מחירים שוק חופשי'!B:Q,14,0)-F13</f>
        <v>830876</v>
      </c>
      <c r="K13" s="102">
        <v>2803680</v>
      </c>
      <c r="L13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03">
        <f>(טבלה1[[#This Row],[מחיר לאחר
ההנחה ומענק]]-טבלה1[[#This Row],[הון עצמי
הנדרש]])/100000*530</f>
        <v>11144.628000000001</v>
      </c>
      <c r="N13" s="104">
        <f t="shared" si="0"/>
        <v>0.37726702048735949</v>
      </c>
      <c r="O13" s="105">
        <f>VLOOKUP(A13,'מחירים שוק חופשי'!B:Q,15,0)-K13</f>
        <v>1057736</v>
      </c>
      <c r="P13" s="120">
        <v>3504600</v>
      </c>
      <c r="Q1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03">
        <f>(טבלה1[[#This Row],[המחיר לאחר
ההנחה ומענק]]-טבלה1[[#This Row],[הון העצמי
הנדרש]])/100000*530</f>
        <v>13930.785</v>
      </c>
      <c r="S13" s="104">
        <f>טבלה1[[#This Row],[הרווח
לעומת
מחיר
השוק]]/טבלה1[[#This Row],[המחיר לאחר
ההנחה ומענק]]</f>
        <v>0.37726702048735949</v>
      </c>
      <c r="T13" s="105">
        <f>VLOOKUP(A13,'מחירים שוק חופשי'!B:Q,16,0)-טבלה1[[#This Row],[המחיר לאחר
ההנחה ומענק]]</f>
        <v>1322170</v>
      </c>
      <c r="U13" s="120"/>
      <c r="V13" s="106">
        <v>1.1599999999999999E-2</v>
      </c>
      <c r="W13" s="4"/>
    </row>
    <row r="14" spans="1:23" ht="26.1" customHeight="1" x14ac:dyDescent="0.35">
      <c r="A14" s="96" t="s">
        <v>64</v>
      </c>
      <c r="B14" s="98">
        <v>19</v>
      </c>
      <c r="C14" s="99">
        <f>טבלה1[[#This Row],[מתוכם
דירות
לכלל
הציבור]]+טבלה1[[#This Row],[מתוכם
דירות
לבני
מקום]]</f>
        <v>59</v>
      </c>
      <c r="D14" s="100">
        <v>35</v>
      </c>
      <c r="E14" s="101">
        <v>24</v>
      </c>
      <c r="F14" s="127"/>
      <c r="G14" s="124"/>
      <c r="H14" s="125"/>
      <c r="I14" s="126"/>
      <c r="J14" s="129"/>
      <c r="K14" s="127"/>
      <c r="L14" s="124"/>
      <c r="M14" s="124"/>
      <c r="N14" s="126"/>
      <c r="O14" s="128"/>
      <c r="P14" s="120">
        <v>1611532</v>
      </c>
      <c r="Q1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03">
        <f>(טבלה1[[#This Row],[המחיר לאחר
ההנחה ומענק]]-טבלה1[[#This Row],[הון העצמי
הנדרש]])/100000*530</f>
        <v>7155</v>
      </c>
      <c r="S14" s="104">
        <f>טבלה1[[#This Row],[הרווח
לעומת
מחיר
השוק]]/טבלה1[[#This Row],[המחיר לאחר
ההנחה ומענק]]</f>
        <v>0.17275983350004839</v>
      </c>
      <c r="T14" s="105">
        <f>VLOOKUP(A14,'מחירים שוק חופשי'!B:Q,16,0)-טבלה1[[#This Row],[המחיר לאחר
ההנחה ומענק]]</f>
        <v>278408</v>
      </c>
      <c r="U14" s="120"/>
      <c r="V14" s="106">
        <v>1.3299999999999999E-2</v>
      </c>
      <c r="W14" s="4"/>
    </row>
    <row r="15" spans="1:23" ht="26.1" customHeight="1" x14ac:dyDescent="0.35">
      <c r="A15" s="96" t="s">
        <v>66</v>
      </c>
      <c r="B15" s="98">
        <v>17</v>
      </c>
      <c r="C15" s="99">
        <f>טבלה1[[#This Row],[מתוכם
דירות
לכלל
הציבור]]+טבלה1[[#This Row],[מתוכם
דירות
לבני
מקום]]</f>
        <v>4</v>
      </c>
      <c r="D15" s="100">
        <v>2</v>
      </c>
      <c r="E15" s="101">
        <v>2</v>
      </c>
      <c r="F15" s="127"/>
      <c r="G15" s="124"/>
      <c r="H15" s="125"/>
      <c r="I15" s="126"/>
      <c r="J15" s="129"/>
      <c r="K15" s="127"/>
      <c r="L15" s="124"/>
      <c r="M15" s="124"/>
      <c r="N15" s="126"/>
      <c r="O15" s="128"/>
      <c r="P15" s="120">
        <v>1019631</v>
      </c>
      <c r="Q15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03">
        <f>(טבלה1[[#This Row],[המחיר לאחר
ההנחה ומענק]]-טבלה1[[#This Row],[הון העצמי
הנדרש]])/100000*530</f>
        <v>4874.0443000000005</v>
      </c>
      <c r="S15" s="104">
        <f>טבלה1[[#This Row],[הרווח
לעומת
מחיר
השוק]]/טבלה1[[#This Row],[המחיר לאחר
ההנחה ומענק]]</f>
        <v>0.57043332342778907</v>
      </c>
      <c r="T15" s="105">
        <f>VLOOKUP(A15,'מחירים שוק חופשי'!B:Q,16,0)-טבלה1[[#This Row],[המחיר לאחר
ההנחה ומענק]]</f>
        <v>581631.5</v>
      </c>
      <c r="U15" s="120"/>
      <c r="V15" s="106">
        <v>4.4000000000000003E-3</v>
      </c>
    </row>
    <row r="16" spans="1:23" ht="26.1" customHeight="1" x14ac:dyDescent="0.35">
      <c r="A16" s="96" t="s">
        <v>65</v>
      </c>
      <c r="B16" s="98">
        <v>20</v>
      </c>
      <c r="C16" s="99">
        <f>טבלה1[[#This Row],[מתוכם
דירות
לכלל
הציבור]]+טבלה1[[#This Row],[מתוכם
דירות
לבני
מקום]]</f>
        <v>44</v>
      </c>
      <c r="D16" s="100">
        <v>17</v>
      </c>
      <c r="E16" s="101">
        <v>27</v>
      </c>
      <c r="F16" s="102">
        <v>524911</v>
      </c>
      <c r="G16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17">
        <f>(טבלה1[[#This Row],[מחיר לאחר
הנחה ומענק]]-טבלה1[[#This Row],[הון עצמי
נדרש]])/100000*530</f>
        <v>2252.0282999999999</v>
      </c>
      <c r="I16" s="104">
        <f>טבלה1[[#This Row],[רווח
לעומת
מחיר
שוק]]/F16</f>
        <v>0.77730701014076675</v>
      </c>
      <c r="J16" s="122">
        <f>VLOOKUP(A16,'מחירים שוק חופשי'!B:Q,14,0)-F16</f>
        <v>408017</v>
      </c>
      <c r="K16" s="102">
        <v>644209</v>
      </c>
      <c r="L16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03">
        <f>(טבלה1[[#This Row],[מחיר לאחר
ההנחה ומענק]]-טבלה1[[#This Row],[הון עצמי
הנדרש]])/100000*530</f>
        <v>2884.3077000000003</v>
      </c>
      <c r="N16" s="104">
        <f t="shared" si="0"/>
        <v>0.79452320597818404</v>
      </c>
      <c r="O16" s="105">
        <f>VLOOKUP(A16,'מחירים שוק חופשי'!B:Q,15,0)-K16</f>
        <v>511839</v>
      </c>
      <c r="P16" s="120">
        <v>841000</v>
      </c>
      <c r="Q16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03">
        <f>(טבלה1[[#This Row],[המחיר לאחר
ההנחה ומענק]]-טבלה1[[#This Row],[הון העצמי
הנדרש]])/100000*530</f>
        <v>3927.3</v>
      </c>
      <c r="S16" s="104">
        <f>טבלה1[[#This Row],[הרווח
לעומת
מחיר
השוק]]/טבלה1[[#This Row],[המחיר לאחר
ההנחה ומענק]]</f>
        <v>0.71826397146254461</v>
      </c>
      <c r="T16" s="105">
        <f>VLOOKUP(A16,'מחירים שוק חופשי'!B:Q,16,0)-טבלה1[[#This Row],[המחיר לאחר
ההנחה ומענק]]</f>
        <v>604060</v>
      </c>
      <c r="U16" s="120"/>
      <c r="V16" s="106">
        <v>2.9000000000000001E-2</v>
      </c>
    </row>
    <row r="17" spans="1:22" ht="26.1" customHeight="1" x14ac:dyDescent="0.35">
      <c r="A17" s="96" t="s">
        <v>53</v>
      </c>
      <c r="B17" s="98">
        <v>13</v>
      </c>
      <c r="C17" s="99">
        <f>טבלה1[[#This Row],[מתוכם
דירות
לכלל
הציבור]]+טבלה1[[#This Row],[מתוכם
דירות
לבני
מקום]]</f>
        <v>348</v>
      </c>
      <c r="D17" s="100">
        <v>237</v>
      </c>
      <c r="E17" s="101">
        <v>111</v>
      </c>
      <c r="F17" s="102">
        <v>883159</v>
      </c>
      <c r="G17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17">
        <f>(טבלה1[[#This Row],[מחיר לאחר
הנחה ומענק]]-טבלה1[[#This Row],[הון עצמי
נדרש]])/100000*530</f>
        <v>4150.7426999999998</v>
      </c>
      <c r="I17" s="104">
        <f>טבלה1[[#This Row],[רווח
לעומת
מחיר
שוק]]/F17</f>
        <v>0.39966189553636433</v>
      </c>
      <c r="J17" s="122">
        <f>VLOOKUP(A17,'מחירים שוק חופשי'!B:Q,14,0)-F17</f>
        <v>352965</v>
      </c>
      <c r="K17" s="102">
        <v>1083877</v>
      </c>
      <c r="L17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03">
        <f>(טבלה1[[#This Row],[מחיר לאחר
ההנחה ומענק]]-טבלה1[[#This Row],[הון עצמי
הנדרש]])/100000*530</f>
        <v>5214.5481</v>
      </c>
      <c r="N17" s="104">
        <f t="shared" si="0"/>
        <v>0.41190743968180893</v>
      </c>
      <c r="O17" s="105">
        <f>VLOOKUP(A17,'מחירים שוק חופשי'!B:Q,15,0)-K17</f>
        <v>446457</v>
      </c>
      <c r="P17" s="120">
        <v>1400000</v>
      </c>
      <c r="Q17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03">
        <f>(טבלה1[[#This Row],[המחיר לאחר
ההנחה ומענק]]-טבלה1[[#This Row],[הון העצמי
הנדרש]])/100000*530</f>
        <v>6890</v>
      </c>
      <c r="S17" s="104">
        <f>טבלה1[[#This Row],[הרווח
לעומת
מחיר
השוק]]/טבלה1[[#This Row],[המחיר לאחר
ההנחה ומענק]]</f>
        <v>0.36636964285714285</v>
      </c>
      <c r="T17" s="105">
        <f>VLOOKUP(A17,'מחירים שוק חופשי'!B:Q,16,0)-טבלה1[[#This Row],[המחיר לאחר
ההנחה ומענק]]</f>
        <v>512917.5</v>
      </c>
      <c r="U17" s="120"/>
      <c r="V17" s="106">
        <v>8.2600000000000007E-2</v>
      </c>
    </row>
    <row r="18" spans="1:22" ht="26.1" customHeight="1" x14ac:dyDescent="0.35">
      <c r="A18" s="96" t="s">
        <v>68</v>
      </c>
      <c r="B18" s="98">
        <v>2</v>
      </c>
      <c r="C18" s="99">
        <f>טבלה1[[#This Row],[מתוכם
דירות
לכלל
הציבור]]+טבלה1[[#This Row],[מתוכם
דירות
לבני
מקום]]</f>
        <v>41</v>
      </c>
      <c r="D18" s="100">
        <v>28</v>
      </c>
      <c r="E18" s="101">
        <v>13</v>
      </c>
      <c r="F18" s="102">
        <v>1705350</v>
      </c>
      <c r="G18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17">
        <f>(טבלה1[[#This Row],[מחיר לאחר
הנחה ומענק]]-טבלה1[[#This Row],[הון עצמי
נדרש]])/100000*530</f>
        <v>7155</v>
      </c>
      <c r="I18" s="104">
        <f>טבלה1[[#This Row],[רווח
לעומת
מחיר
שוק]]/F18</f>
        <v>0.42526988594716625</v>
      </c>
      <c r="J18" s="122">
        <f>VLOOKUP(A18,'מחירים שוק חופשי'!B:Q,14,0)-F18</f>
        <v>725234</v>
      </c>
      <c r="K18" s="102">
        <v>2092947</v>
      </c>
      <c r="L18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03">
        <f>(טבלה1[[#This Row],[מחיר לאחר
ההנחה ומענק]]-טבלה1[[#This Row],[הון עצמי
הנדרש]])/100000*530</f>
        <v>8319.464324999999</v>
      </c>
      <c r="N18" s="104">
        <f t="shared" si="0"/>
        <v>0.43789785407848358</v>
      </c>
      <c r="O18" s="105">
        <f>VLOOKUP(A18,'מחירים שוק חופשי'!B:Q,15,0)-K18</f>
        <v>916497</v>
      </c>
      <c r="P18" s="120">
        <v>2616000</v>
      </c>
      <c r="Q18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03">
        <f>(טבלה1[[#This Row],[המחיר לאחר
ההנחה ומענק]]-טבלה1[[#This Row],[הון העצמי
הנדרש]])/100000*530</f>
        <v>10398.6</v>
      </c>
      <c r="S18" s="104">
        <f>טבלה1[[#This Row],[הרווח
לעומת
מחיר
השוק]]/טבלה1[[#This Row],[המחיר לאחר
ההנחה ומענק]]</f>
        <v>0.43799885321100918</v>
      </c>
      <c r="T18" s="105">
        <f>VLOOKUP(A18,'מחירים שוק חופשי'!B:Q,16,0)-טבלה1[[#This Row],[המחיר לאחר
ההנחה ומענק]]</f>
        <v>1145805</v>
      </c>
      <c r="U18" s="120"/>
      <c r="V18" s="106">
        <v>7.6E-3</v>
      </c>
    </row>
    <row r="19" spans="1:22" ht="26.1" customHeight="1" x14ac:dyDescent="0.35">
      <c r="A19" s="96" t="s">
        <v>67</v>
      </c>
      <c r="B19" s="98">
        <v>2</v>
      </c>
      <c r="C19" s="99">
        <f>טבלה1[[#This Row],[מתוכם
דירות
לכלל
הציבור]]+טבלה1[[#This Row],[מתוכם
דירות
לבני
מקום]]</f>
        <v>212</v>
      </c>
      <c r="D19" s="100">
        <v>145</v>
      </c>
      <c r="E19" s="101">
        <v>67</v>
      </c>
      <c r="F19" s="102">
        <v>1500000</v>
      </c>
      <c r="G19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17">
        <f>(טבלה1[[#This Row],[מחיר לאחר
הנחה ומענק]]-טבלה1[[#This Row],[הון עצמי
נדרש]])/100000*530</f>
        <v>7155</v>
      </c>
      <c r="I19" s="104">
        <f>טבלה1[[#This Row],[רווח
לעומת
מחיר
שוק]]/F19</f>
        <v>0.38711466666666666</v>
      </c>
      <c r="J19" s="122">
        <f>VLOOKUP(A19,'מחירים שוק חופשי'!B:Q,14,0)-F19</f>
        <v>580672</v>
      </c>
      <c r="K19" s="102">
        <v>1841081</v>
      </c>
      <c r="L19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03">
        <f>(טבלה1[[#This Row],[מחיר לאחר
ההנחה ומענק]]-טבלה1[[#This Row],[הון עצמי
הנדרש]])/100000*530</f>
        <v>7318.2969750000002</v>
      </c>
      <c r="N19" s="104">
        <f t="shared" si="0"/>
        <v>0.40002096594337783</v>
      </c>
      <c r="O19" s="105">
        <f>VLOOKUP(A19,'מחירים שוק חופשי'!B:Q,15,0)-K19</f>
        <v>736471</v>
      </c>
      <c r="P19" s="120">
        <v>2300000</v>
      </c>
      <c r="Q19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03">
        <f>(טבלה1[[#This Row],[המחיר לאחר
ההנחה ומענק]]-טבלה1[[#This Row],[הון העצמי
הנדרש]])/100000*530</f>
        <v>9142.5</v>
      </c>
      <c r="S19" s="104">
        <f>טבלה1[[#This Row],[הרווח
לעומת
מחיר
השוק]]/טבלה1[[#This Row],[המחיר לאחר
ההנחה ומענק]]</f>
        <v>0.40084347826086958</v>
      </c>
      <c r="T19" s="105">
        <f>VLOOKUP(A19,'מחירים שוק חופשי'!B:Q,16,0)-טבלה1[[#This Row],[המחיר לאחר
ההנחה ומענק]]</f>
        <v>921940</v>
      </c>
      <c r="U19" s="120"/>
      <c r="V19" s="106">
        <v>7.6E-3</v>
      </c>
    </row>
    <row r="20" spans="1:22" ht="26.1" customHeight="1" x14ac:dyDescent="0.35">
      <c r="A20" s="96" t="s">
        <v>69</v>
      </c>
      <c r="B20" s="98">
        <v>10</v>
      </c>
      <c r="C20" s="99">
        <f>טבלה1[[#This Row],[מתוכם
דירות
לכלל
הציבור]]+טבלה1[[#This Row],[מתוכם
דירות
לבני
מקום]]</f>
        <v>84</v>
      </c>
      <c r="D20" s="100">
        <v>49</v>
      </c>
      <c r="E20" s="101">
        <v>35</v>
      </c>
      <c r="F20" s="102">
        <v>780700</v>
      </c>
      <c r="G20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17">
        <f>(טבלה1[[#This Row],[מחיר לאחר
הנחה ומענק]]-טבלה1[[#This Row],[הון עצמי
נדרש]])/100000*530</f>
        <v>3607.71</v>
      </c>
      <c r="I20" s="104">
        <f>טבלה1[[#This Row],[רווח
לעומת
מחיר
שוק]]/F20</f>
        <v>0.62816959139234019</v>
      </c>
      <c r="J20" s="122">
        <f>VLOOKUP(A20,'מחירים שוק חופשי'!B:Q,14,0)-F20</f>
        <v>490412</v>
      </c>
      <c r="K20" s="102">
        <v>1096688</v>
      </c>
      <c r="L20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03">
        <f>(טבלה1[[#This Row],[מחיר לאחר
ההנחה ומענק]]-טבלה1[[#This Row],[הון עצמי
הנדרש]])/100000*530</f>
        <v>5282.4463999999998</v>
      </c>
      <c r="N20" s="104">
        <f t="shared" si="0"/>
        <v>0.4344024918664196</v>
      </c>
      <c r="O20" s="105">
        <f>VLOOKUP(A20,'מחירים שוק חופשי'!B:Q,15,0)-K20</f>
        <v>476404</v>
      </c>
      <c r="P20" s="120">
        <v>1479000</v>
      </c>
      <c r="Q20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03">
        <f>(טבלה1[[#This Row],[המחיר לאחר
ההנחה ומענק]]-טבלה1[[#This Row],[הון העצמי
הנדרש]])/100000*530</f>
        <v>7155</v>
      </c>
      <c r="S20" s="104">
        <f>טבלה1[[#This Row],[הרווח
לעומת
מחיר
השוק]]/טבלה1[[#This Row],[המחיר לאחר
ההנחה ומענק]]</f>
        <v>0.32952332657200811</v>
      </c>
      <c r="T20" s="105">
        <f>VLOOKUP(A20,'מחירים שוק חופשי'!B:Q,16,0)-טבלה1[[#This Row],[המחיר לאחר
ההנחה ומענק]]</f>
        <v>487365</v>
      </c>
      <c r="U20" s="120"/>
      <c r="V20" s="106">
        <v>8.5000000000000006E-3</v>
      </c>
    </row>
    <row r="21" spans="1:22" ht="26.1" customHeight="1" x14ac:dyDescent="0.35">
      <c r="A21" s="96" t="s">
        <v>70</v>
      </c>
      <c r="B21" s="98">
        <v>8</v>
      </c>
      <c r="C21" s="99">
        <f>טבלה1[[#This Row],[מתוכם
דירות
לכלל
הציבור]]+טבלה1[[#This Row],[מתוכם
דירות
לבני
מקום]]</f>
        <v>349</v>
      </c>
      <c r="D21" s="100">
        <v>248</v>
      </c>
      <c r="E21" s="101">
        <v>101</v>
      </c>
      <c r="F21" s="102">
        <v>620000</v>
      </c>
      <c r="G21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17">
        <f>(טבלה1[[#This Row],[מחיר לאחר
הנחה ומענק]]-טבלה1[[#This Row],[הון עצמי
נדרש]])/100000*530</f>
        <v>2756</v>
      </c>
      <c r="I21" s="104">
        <f>טבלה1[[#This Row],[רווח
לעומת
מחיר
שוק]]/F21</f>
        <v>0.70483870967741935</v>
      </c>
      <c r="J21" s="122">
        <f>VLOOKUP(A21,'מחירים שוק חופשי'!B:Q,14,0)-F21</f>
        <v>437000</v>
      </c>
      <c r="K21" s="102">
        <v>770000</v>
      </c>
      <c r="L21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03">
        <f>(טבלה1[[#This Row],[מחיר לאחר
ההנחה ומענק]]-טבלה1[[#This Row],[הון עצמי
הנדרש]])/100000*530</f>
        <v>3551</v>
      </c>
      <c r="N21" s="104">
        <f t="shared" si="0"/>
        <v>0.69935064935064939</v>
      </c>
      <c r="O21" s="105">
        <f>VLOOKUP(A21,'מחירים שוק חופשי'!B:Q,15,0)-K21</f>
        <v>538500</v>
      </c>
      <c r="P21" s="120">
        <v>1078000</v>
      </c>
      <c r="Q21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03">
        <f>(טבלה1[[#This Row],[המחיר לאחר
ההנחה ומענק]]-טבלה1[[#This Row],[הון העצמי
הנדרש]])/100000*530</f>
        <v>5183.3999999999996</v>
      </c>
      <c r="S21" s="104">
        <f>טבלה1[[#This Row],[הרווח
לעומת
מחיר
השוק]]/טבלה1[[#This Row],[המחיר לאחר
ההנחה ומענק]]</f>
        <v>0.51727736549165115</v>
      </c>
      <c r="T21" s="105">
        <f>VLOOKUP(A21,'מחירים שוק חופשי'!B:Q,16,0)-טבלה1[[#This Row],[המחיר לאחר
ההנחה ומענק]]</f>
        <v>557625</v>
      </c>
      <c r="U21" s="120"/>
      <c r="V21" s="106">
        <v>2.1899999999999999E-2</v>
      </c>
    </row>
    <row r="22" spans="1:22" ht="26.1" customHeight="1" x14ac:dyDescent="0.35">
      <c r="A22" s="96" t="s">
        <v>16</v>
      </c>
      <c r="B22" s="98">
        <v>12</v>
      </c>
      <c r="C22" s="99">
        <f>טבלה1[[#This Row],[מתוכם
דירות
לכלל
הציבור]]+טבלה1[[#This Row],[מתוכם
דירות
לבני
מקום]]</f>
        <v>210</v>
      </c>
      <c r="D22" s="100">
        <v>144</v>
      </c>
      <c r="E22" s="101">
        <v>66</v>
      </c>
      <c r="F22" s="102">
        <v>944000</v>
      </c>
      <c r="G22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17">
        <f>(טבלה1[[#This Row],[מחיר לאחר
הנחה ומענק]]-טבלה1[[#This Row],[הון עצמי
נדרש]])/100000*530</f>
        <v>4473.2</v>
      </c>
      <c r="I22" s="104">
        <f>טבלה1[[#This Row],[רווח
לעומת
מחיר
שוק]]/F22</f>
        <v>0.58631779661016947</v>
      </c>
      <c r="J22" s="122">
        <f>VLOOKUP(A22,'מחירים שוק חופשי'!B:Q,14,0)-F22</f>
        <v>553484</v>
      </c>
      <c r="K22" s="102">
        <v>1300000</v>
      </c>
      <c r="L22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03">
        <f>(טבלה1[[#This Row],[מחיר לאחר
ההנחה ומענק]]-טבלה1[[#This Row],[הון עצמי
הנדרש]])/100000*530</f>
        <v>6360</v>
      </c>
      <c r="N22" s="104">
        <f t="shared" si="0"/>
        <v>0.42622615384615387</v>
      </c>
      <c r="O22" s="105">
        <f>VLOOKUP(A22,'מחירים שוק חופשי'!B:Q,15,0)-K22</f>
        <v>554094</v>
      </c>
      <c r="P22" s="120">
        <v>1663500</v>
      </c>
      <c r="Q22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03">
        <f>(טבלה1[[#This Row],[המחיר לאחר
ההנחה ומענק]]-טבלה1[[#This Row],[הון העצמי
הנדרש]])/100000*530</f>
        <v>7155</v>
      </c>
      <c r="S22" s="104">
        <f>טבלה1[[#This Row],[הרווח
לעומת
מחיר
השוק]]/טבלה1[[#This Row],[המחיר לאחר
ההנחה ומענק]]</f>
        <v>0.39321761346558459</v>
      </c>
      <c r="T22" s="105">
        <f>VLOOKUP(A22,'מחירים שוק חופשי'!B:Q,16,0)-טבלה1[[#This Row],[המחיר לאחר
ההנחה ומענק]]</f>
        <v>654117.5</v>
      </c>
      <c r="U22" s="120"/>
      <c r="V22" s="106">
        <v>1.1900000000000001E-2</v>
      </c>
    </row>
    <row r="23" spans="1:22" ht="26.1" customHeight="1" x14ac:dyDescent="0.35">
      <c r="A23" s="96" t="s">
        <v>72</v>
      </c>
      <c r="B23" s="98">
        <v>7</v>
      </c>
      <c r="C23" s="99">
        <f>טבלה1[[#This Row],[מתוכם
דירות
לכלל
הציבור]]+טבלה1[[#This Row],[מתוכם
דירות
לבני
מקום]]</f>
        <v>152</v>
      </c>
      <c r="D23" s="100">
        <v>103</v>
      </c>
      <c r="E23" s="101">
        <v>49</v>
      </c>
      <c r="F23" s="102">
        <v>1015300</v>
      </c>
      <c r="G23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17">
        <f>(טבלה1[[#This Row],[מחיר לאחר
הנחה ומענק]]-טבלה1[[#This Row],[הון עצמי
נדרש]])/100000*530</f>
        <v>4851.09</v>
      </c>
      <c r="I23" s="104">
        <f>טבלה1[[#This Row],[רווח
לעומת
מחיר
שוק]]/F23</f>
        <v>0.58737712991234114</v>
      </c>
      <c r="J23" s="122">
        <f>VLOOKUP(A23,'מחירים שוק חופשי'!B:Q,14,0)-F23</f>
        <v>596364</v>
      </c>
      <c r="K23" s="102">
        <v>1382457</v>
      </c>
      <c r="L23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03">
        <f>(טבלה1[[#This Row],[מחיר לאחר
ההנחה ומענק]]-טבלה1[[#This Row],[הון עצמי
הנדרש]])/100000*530</f>
        <v>6797.0221000000001</v>
      </c>
      <c r="N23" s="104">
        <f t="shared" si="0"/>
        <v>0.44396823915680561</v>
      </c>
      <c r="O23" s="105">
        <f>VLOOKUP(A23,'מחירים שוק חופשי'!B:Q,15,0)-K23</f>
        <v>613767</v>
      </c>
      <c r="P23" s="120">
        <v>1733180</v>
      </c>
      <c r="Q23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03">
        <f>(טבלה1[[#This Row],[המחיר לאחר
ההנחה ומענק]]-טבלה1[[#This Row],[הון העצמי
הנדרש]])/100000*530</f>
        <v>7155</v>
      </c>
      <c r="S23" s="104">
        <f>טבלה1[[#This Row],[הרווח
לעומת
מחיר
השוק]]/טבלה1[[#This Row],[המחיר לאחר
ההנחה ומענק]]</f>
        <v>0.439711974520823</v>
      </c>
      <c r="T23" s="105">
        <f>VLOOKUP(A23,'מחירים שוק חופשי'!B:Q,16,0)-טבלה1[[#This Row],[המחיר לאחר
ההנחה ומענק]]</f>
        <v>762100</v>
      </c>
      <c r="U23" s="120"/>
      <c r="V23" s="106">
        <v>1.26E-2</v>
      </c>
    </row>
    <row r="24" spans="1:22" ht="26.1" customHeight="1" x14ac:dyDescent="0.35">
      <c r="A24" s="96" t="s">
        <v>38</v>
      </c>
      <c r="B24" s="98">
        <v>18</v>
      </c>
      <c r="C24" s="99">
        <f>טבלה1[[#This Row],[מתוכם
דירות
לכלל
הציבור]]+טבלה1[[#This Row],[מתוכם
דירות
לבני
מקום]]</f>
        <v>600</v>
      </c>
      <c r="D24" s="100">
        <v>407</v>
      </c>
      <c r="E24" s="101">
        <v>193</v>
      </c>
      <c r="F24" s="102">
        <v>1300000</v>
      </c>
      <c r="G24" s="10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17">
        <f>(טבלה1[[#This Row],[מחיר לאחר
הנחה ומענק]]-טבלה1[[#This Row],[הון עצמי
נדרש]])/100000*530</f>
        <v>6360</v>
      </c>
      <c r="I24" s="104">
        <f>טבלה1[[#This Row],[רווח
לעומת
מחיר
שוק]]/F24</f>
        <v>0.35656923076923075</v>
      </c>
      <c r="J24" s="122">
        <f>VLOOKUP(A24,'מחירים שוק חופשי'!B:Q,14,0)-F24</f>
        <v>463540</v>
      </c>
      <c r="K24" s="102">
        <v>1716545</v>
      </c>
      <c r="L24" s="10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03">
        <f>(טבלה1[[#This Row],[מחיר לאחר
ההנחה ומענק]]-טבלה1[[#This Row],[הון עצמי
הנדרש]])/100000*530</f>
        <v>7155</v>
      </c>
      <c r="N24" s="104">
        <f t="shared" si="0"/>
        <v>0.27225910185867541</v>
      </c>
      <c r="O24" s="105">
        <f>VLOOKUP(A24,'מחירים שוק חופשי'!B:Q,15,0)-K24</f>
        <v>467345</v>
      </c>
      <c r="P24" s="120">
        <v>2144200</v>
      </c>
      <c r="Q24" s="10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03">
        <f>(טבלה1[[#This Row],[המחיר לאחר
ההנחה ומענק]]-טבלה1[[#This Row],[הון העצמי
הנדרש]])/100000*530</f>
        <v>8523.1949999999997</v>
      </c>
      <c r="S24" s="104">
        <f>טבלה1[[#This Row],[הרווח
לעומת
מחיר
השוק]]/טבלה1[[#This Row],[המחיר לאחר
ההנחה ומענק]]</f>
        <v>0.27313800018654977</v>
      </c>
      <c r="T24" s="105">
        <f>VLOOKUP(A24,'מחירים שוק חופשי'!B:Q,16,0)-טבלה1[[#This Row],[המחיר לאחר
ההנחה ומענק]]</f>
        <v>585662.5</v>
      </c>
      <c r="U24" s="120"/>
      <c r="V24" s="106">
        <v>2.5700000000000001E-2</v>
      </c>
    </row>
    <row r="25" spans="1:22" ht="26.1" customHeight="1" thickBot="1" x14ac:dyDescent="0.4">
      <c r="A25" s="97" t="s">
        <v>71</v>
      </c>
      <c r="B25" s="108">
        <v>6</v>
      </c>
      <c r="C25" s="109">
        <f>טבלה1[[#This Row],[מתוכם
דירות
לכלל
הציבור]]+טבלה1[[#This Row],[מתוכם
דירות
לבני
מקום]]</f>
        <v>768</v>
      </c>
      <c r="D25" s="110">
        <v>524</v>
      </c>
      <c r="E25" s="111">
        <v>244</v>
      </c>
      <c r="F25" s="112">
        <v>1998000</v>
      </c>
      <c r="G25" s="113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18">
        <f>(טבלה1[[#This Row],[מחיר לאחר
הנחה ומענק]]-טבלה1[[#This Row],[הון עצמי
נדרש]])/100000*530</f>
        <v>7942.0499999999993</v>
      </c>
      <c r="I25" s="114">
        <f>טבלה1[[#This Row],[רווח
לעומת
מחיר
שוק]]/F25</f>
        <v>0.36857057057057058</v>
      </c>
      <c r="J25" s="123">
        <f>VLOOKUP(A25,'מחירים שוק חופשי'!B:Q,14,0)-F25</f>
        <v>736404</v>
      </c>
      <c r="K25" s="112">
        <v>2452771</v>
      </c>
      <c r="L25" s="113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13">
        <f>(טבלה1[[#This Row],[מחיר לאחר
ההנחה ומענק]]-טבלה1[[#This Row],[הון עצמי
הנדרש]])/100000*530</f>
        <v>9749.7647249999991</v>
      </c>
      <c r="N25" s="114">
        <f t="shared" si="0"/>
        <v>0.3810151864972311</v>
      </c>
      <c r="O25" s="115">
        <f>VLOOKUP(A25,'מחירים שוק חופשי'!B:Q,15,0)-K25</f>
        <v>934543</v>
      </c>
      <c r="P25" s="121">
        <v>3069390</v>
      </c>
      <c r="Q25" s="113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13">
        <f>(טבלה1[[#This Row],[המחיר לאחר
ההנחה ומענק]]-טבלה1[[#This Row],[הון העצמי
הנדרש]])/100000*530</f>
        <v>12200.82525</v>
      </c>
      <c r="S25" s="114">
        <f>טבלה1[[#This Row],[הרווח
לעומת
מחיר
השוק]]/טבלה1[[#This Row],[המחיר לאחר
ההנחה ומענק]]</f>
        <v>0.37947360876265318</v>
      </c>
      <c r="T25" s="115">
        <f>VLOOKUP(A25,'מחירים שוק חופשי'!B:Q,16,0)-טבלה1[[#This Row],[המחיר לאחר
ההנחה ומענק]]</f>
        <v>1164752.5</v>
      </c>
      <c r="U25" s="121"/>
      <c r="V25" s="116">
        <v>1.7600000000000001E-2</v>
      </c>
    </row>
    <row r="26" spans="1:22" ht="26.1" customHeight="1" x14ac:dyDescent="0.3">
      <c r="A26" s="87" t="s">
        <v>77</v>
      </c>
      <c r="B26" s="82"/>
      <c r="C26" s="83">
        <f>SUM(C4:C25)</f>
        <v>4540</v>
      </c>
      <c r="D26" s="84">
        <f>SUBTOTAL(109,טבלה1[מתוכם
דירות
לכלל
הציבור])</f>
        <v>3077</v>
      </c>
      <c r="E26" s="85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x14ac:dyDescent="0.3">
      <c r="H27" s="79"/>
    </row>
    <row r="28" spans="1:22" x14ac:dyDescent="0.3">
      <c r="H28" s="79"/>
    </row>
    <row r="29" spans="1:22" x14ac:dyDescent="0.3">
      <c r="H29" s="79"/>
    </row>
    <row r="30" spans="1:22" x14ac:dyDescent="0.3">
      <c r="H30" s="79"/>
    </row>
    <row r="31" spans="1:22" x14ac:dyDescent="0.3">
      <c r="H31" s="79"/>
    </row>
    <row r="32" spans="1:22" x14ac:dyDescent="0.3">
      <c r="H32" s="79"/>
    </row>
    <row r="33" spans="8:18" x14ac:dyDescent="0.3">
      <c r="H33" s="79"/>
    </row>
    <row r="34" spans="8:18" x14ac:dyDescent="0.3">
      <c r="H34" s="79"/>
    </row>
    <row r="35" spans="8:18" x14ac:dyDescent="0.3">
      <c r="H35" s="79"/>
    </row>
    <row r="36" spans="8:18" x14ac:dyDescent="0.3">
      <c r="H36" s="79"/>
    </row>
    <row r="37" spans="8:18" x14ac:dyDescent="0.3">
      <c r="H37" s="79"/>
    </row>
    <row r="38" spans="8:18" x14ac:dyDescent="0.3">
      <c r="H38" s="79"/>
    </row>
    <row r="39" spans="8:18" x14ac:dyDescent="0.3">
      <c r="H39" s="79"/>
    </row>
    <row r="40" spans="8:18" x14ac:dyDescent="0.3">
      <c r="H40" s="79"/>
    </row>
    <row r="41" spans="8:18" x14ac:dyDescent="0.3">
      <c r="H41" s="79"/>
      <c r="O41" s="5"/>
      <c r="R41" s="5"/>
    </row>
    <row r="47" spans="8:18" x14ac:dyDescent="0.3">
      <c r="K47" s="5"/>
    </row>
    <row r="48" spans="8:18" x14ac:dyDescent="0.3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38" t="s">
        <v>25</v>
      </c>
      <c r="B1" s="37" t="s">
        <v>24</v>
      </c>
      <c r="D1" s="150"/>
      <c r="E1" s="152"/>
      <c r="F1" s="151"/>
      <c r="G1" s="36"/>
      <c r="H1" s="150">
        <v>3</v>
      </c>
      <c r="I1" s="151"/>
      <c r="J1" s="36"/>
      <c r="K1" s="150">
        <v>4</v>
      </c>
      <c r="L1" s="151"/>
    </row>
    <row r="2" spans="1:12" x14ac:dyDescent="0.25">
      <c r="A2" s="35">
        <f>(I2+I3)/D2</f>
        <v>550733</v>
      </c>
      <c r="B2" s="34">
        <f>(L2+L3)/D2</f>
        <v>675899.5</v>
      </c>
      <c r="D2" s="30">
        <v>72</v>
      </c>
      <c r="E2" s="31" t="s">
        <v>20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4.4" thickBot="1" x14ac:dyDescent="0.3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x14ac:dyDescent="0.2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x14ac:dyDescent="0.2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4.4" thickBot="1" x14ac:dyDescent="0.3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x14ac:dyDescent="0.2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21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x14ac:dyDescent="0.2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4.4" thickBot="1" x14ac:dyDescent="0.3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x14ac:dyDescent="0.2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14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x14ac:dyDescent="0.2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x14ac:dyDescent="0.2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x14ac:dyDescent="0.2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4.4" thickBot="1" x14ac:dyDescent="0.3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x14ac:dyDescent="0.2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22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4.4" thickBot="1" x14ac:dyDescent="0.3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x14ac:dyDescent="0.2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23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x14ac:dyDescent="0.2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4.4" thickBot="1" x14ac:dyDescent="0.3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x14ac:dyDescent="0.2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x14ac:dyDescent="0.2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x14ac:dyDescent="0.2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4.4" thickBot="1" x14ac:dyDescent="0.3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x14ac:dyDescent="0.2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x14ac:dyDescent="0.2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x14ac:dyDescent="0.2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4.4" thickBot="1" x14ac:dyDescent="0.3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Z53"/>
  <sheetViews>
    <sheetView rightToLeft="1" topLeftCell="B1" workbookViewId="0">
      <pane ySplit="6" topLeftCell="A22" activePane="bottomLeft" state="frozen"/>
      <selection pane="bottomLeft" activeCell="M33" sqref="M33"/>
    </sheetView>
  </sheetViews>
  <sheetFormatPr defaultRowHeight="13.8" x14ac:dyDescent="0.25"/>
  <cols>
    <col min="1" max="1" width="7.09765625" style="41" customWidth="1"/>
    <col min="2" max="2" width="15.8984375" bestFit="1" customWidth="1"/>
    <col min="3" max="3" width="9.8984375" bestFit="1" customWidth="1"/>
    <col min="4" max="4" width="10" style="46" bestFit="1" customWidth="1"/>
    <col min="5" max="5" width="10" style="46" customWidth="1"/>
    <col min="6" max="8" width="9.8984375" style="46" bestFit="1" customWidth="1"/>
    <col min="9" max="17" width="9.8984375" style="46" customWidth="1"/>
    <col min="18" max="18" width="12.5" customWidth="1"/>
    <col min="25" max="25" width="9.8984375" bestFit="1" customWidth="1"/>
    <col min="26" max="26" width="12.3984375" bestFit="1" customWidth="1"/>
  </cols>
  <sheetData>
    <row r="1" spans="1:18" s="45" customFormat="1" ht="36" customHeight="1" x14ac:dyDescent="0.2">
      <c r="A1" s="57" t="s">
        <v>50</v>
      </c>
      <c r="B1" s="58" t="s">
        <v>6</v>
      </c>
      <c r="C1" s="58" t="s">
        <v>73</v>
      </c>
      <c r="D1" s="58" t="s">
        <v>58</v>
      </c>
      <c r="E1" s="131" t="s">
        <v>74</v>
      </c>
      <c r="F1" s="131" t="s">
        <v>7</v>
      </c>
      <c r="G1" s="131" t="s">
        <v>8</v>
      </c>
      <c r="H1" s="131" t="s">
        <v>78</v>
      </c>
      <c r="I1" s="134" t="s">
        <v>99</v>
      </c>
      <c r="J1" s="134" t="s">
        <v>100</v>
      </c>
      <c r="K1" s="134" t="s">
        <v>101</v>
      </c>
      <c r="L1" s="134" t="s">
        <v>96</v>
      </c>
      <c r="M1" s="134" t="s">
        <v>97</v>
      </c>
      <c r="N1" s="134" t="s">
        <v>98</v>
      </c>
      <c r="O1" s="134" t="s">
        <v>102</v>
      </c>
      <c r="P1" s="134" t="s">
        <v>103</v>
      </c>
      <c r="Q1" s="134" t="s">
        <v>104</v>
      </c>
      <c r="R1" s="59" t="s">
        <v>49</v>
      </c>
    </row>
    <row r="2" spans="1:18" s="45" customFormat="1" hidden="1" x14ac:dyDescent="0.25">
      <c r="A2" s="43"/>
      <c r="B2" s="55" t="s">
        <v>54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72"/>
    </row>
    <row r="3" spans="1:18" ht="18" hidden="1" customHeight="1" x14ac:dyDescent="0.25">
      <c r="A3" s="43"/>
      <c r="B3" s="2" t="s">
        <v>30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3"/>
      <c r="J3" s="3"/>
      <c r="K3" s="3"/>
      <c r="L3" s="3"/>
      <c r="M3" s="3"/>
      <c r="N3" s="3"/>
      <c r="O3" s="3"/>
      <c r="P3" s="3"/>
      <c r="Q3" s="3"/>
      <c r="R3" s="44" t="s">
        <v>45</v>
      </c>
    </row>
    <row r="4" spans="1:18" ht="18" hidden="1" customHeight="1" x14ac:dyDescent="0.25">
      <c r="A4" s="54"/>
      <c r="B4" s="55" t="s">
        <v>20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9"/>
    </row>
    <row r="5" spans="1:18" ht="18" hidden="1" customHeight="1" x14ac:dyDescent="0.25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29</v>
      </c>
    </row>
    <row r="6" spans="1:18" ht="18" hidden="1" customHeight="1" x14ac:dyDescent="0.25">
      <c r="A6" s="43"/>
      <c r="B6" s="66" t="s">
        <v>27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9"/>
    </row>
    <row r="7" spans="1:18" ht="20.100000000000001" customHeight="1" x14ac:dyDescent="0.25">
      <c r="A7" s="43" t="s">
        <v>51</v>
      </c>
      <c r="B7" s="2" t="s">
        <v>31</v>
      </c>
      <c r="C7" s="3">
        <v>16628</v>
      </c>
      <c r="D7" s="3">
        <v>17300</v>
      </c>
      <c r="E7" s="132">
        <f>AVERAGE(C7:D7)</f>
        <v>16964</v>
      </c>
      <c r="F7" s="133">
        <f t="shared" si="0"/>
        <v>1357120</v>
      </c>
      <c r="G7" s="133">
        <f t="shared" si="1"/>
        <v>1696400</v>
      </c>
      <c r="H7" s="133">
        <f>E7*125</f>
        <v>2120500</v>
      </c>
      <c r="I7" s="135">
        <f>D7*80</f>
        <v>1384000</v>
      </c>
      <c r="J7" s="135">
        <f>D7*100</f>
        <v>1730000</v>
      </c>
      <c r="K7" s="135">
        <f>D7*125</f>
        <v>2162500</v>
      </c>
      <c r="L7" s="135">
        <f t="shared" ref="L7:L9" si="2">C7*88</f>
        <v>1463264</v>
      </c>
      <c r="M7" s="135">
        <f t="shared" ref="M7:M9" si="3">C7*108</f>
        <v>1795824</v>
      </c>
      <c r="N7" s="135">
        <f>C7*135</f>
        <v>2244780</v>
      </c>
      <c r="O7" s="135">
        <f>AVERAGE(I7,L7)</f>
        <v>1423632</v>
      </c>
      <c r="P7" s="135">
        <f>AVERAGE(J7,M7)</f>
        <v>1762912</v>
      </c>
      <c r="Q7" s="135">
        <f>AVERAGE(K7,N7)</f>
        <v>2203640</v>
      </c>
      <c r="R7" s="9"/>
    </row>
    <row r="8" spans="1:18" ht="20.100000000000001" customHeight="1" x14ac:dyDescent="0.25">
      <c r="A8" s="57" t="s">
        <v>51</v>
      </c>
      <c r="B8" s="2" t="s">
        <v>59</v>
      </c>
      <c r="C8" s="3">
        <v>23363</v>
      </c>
      <c r="D8" s="3">
        <v>26100</v>
      </c>
      <c r="E8" s="132">
        <f t="shared" ref="E8:E9" si="4">AVERAGE(C8:D8)</f>
        <v>24731.5</v>
      </c>
      <c r="F8" s="133">
        <f t="shared" si="0"/>
        <v>1978520</v>
      </c>
      <c r="G8" s="133">
        <f t="shared" si="1"/>
        <v>2473150</v>
      </c>
      <c r="H8" s="133">
        <f t="shared" ref="H8:H9" si="5">E8*125</f>
        <v>3091437.5</v>
      </c>
      <c r="I8" s="135">
        <f t="shared" ref="I8:I9" si="6">D8*80</f>
        <v>2088000</v>
      </c>
      <c r="J8" s="135">
        <f t="shared" ref="J8:J9" si="7">D8*100</f>
        <v>2610000</v>
      </c>
      <c r="K8" s="135">
        <f t="shared" ref="K8:K9" si="8">D8*125</f>
        <v>3262500</v>
      </c>
      <c r="L8" s="135">
        <f t="shared" si="2"/>
        <v>2055944</v>
      </c>
      <c r="M8" s="135">
        <f t="shared" si="3"/>
        <v>2523204</v>
      </c>
      <c r="N8" s="135">
        <f t="shared" ref="N8:N9" si="9">C8*135</f>
        <v>3154005</v>
      </c>
      <c r="O8" s="135">
        <f t="shared" ref="O8:O9" si="10">AVERAGE(I8,L8)</f>
        <v>2071972</v>
      </c>
      <c r="P8" s="135">
        <f t="shared" ref="P8:P9" si="11">AVERAGE(J8,M8)</f>
        <v>2566602</v>
      </c>
      <c r="Q8" s="135">
        <f t="shared" ref="Q8:Q9" si="12">AVERAGE(K8,N8)</f>
        <v>3208252.5</v>
      </c>
      <c r="R8" s="59"/>
    </row>
    <row r="9" spans="1:18" ht="20.100000000000001" customHeight="1" x14ac:dyDescent="0.25">
      <c r="A9" s="43" t="s">
        <v>51</v>
      </c>
      <c r="B9" s="2" t="s">
        <v>19</v>
      </c>
      <c r="C9" s="3">
        <v>15001</v>
      </c>
      <c r="D9" s="3">
        <v>14000</v>
      </c>
      <c r="E9" s="132">
        <f t="shared" si="4"/>
        <v>14500.5</v>
      </c>
      <c r="F9" s="133">
        <f t="shared" si="0"/>
        <v>1160040</v>
      </c>
      <c r="G9" s="133">
        <f t="shared" si="1"/>
        <v>1450050</v>
      </c>
      <c r="H9" s="133">
        <f t="shared" si="5"/>
        <v>1812562.5</v>
      </c>
      <c r="I9" s="135">
        <f t="shared" si="6"/>
        <v>1120000</v>
      </c>
      <c r="J9" s="135">
        <f t="shared" si="7"/>
        <v>1400000</v>
      </c>
      <c r="K9" s="135">
        <f t="shared" si="8"/>
        <v>1750000</v>
      </c>
      <c r="L9" s="135">
        <f t="shared" si="2"/>
        <v>1320088</v>
      </c>
      <c r="M9" s="135">
        <f t="shared" si="3"/>
        <v>1620108</v>
      </c>
      <c r="N9" s="135">
        <f t="shared" si="9"/>
        <v>2025135</v>
      </c>
      <c r="O9" s="135">
        <f t="shared" si="10"/>
        <v>1220044</v>
      </c>
      <c r="P9" s="135">
        <f t="shared" si="11"/>
        <v>1510054</v>
      </c>
      <c r="Q9" s="135">
        <f t="shared" si="12"/>
        <v>1887567.5</v>
      </c>
      <c r="R9" s="9"/>
    </row>
    <row r="10" spans="1:18" ht="18" hidden="1" customHeight="1" x14ac:dyDescent="0.25">
      <c r="A10" s="54"/>
      <c r="B10" s="55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73"/>
    </row>
    <row r="11" spans="1:18" ht="18" hidden="1" customHeight="1" x14ac:dyDescent="0.25">
      <c r="A11" s="43"/>
      <c r="B11" s="66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9" t="s">
        <v>46</v>
      </c>
    </row>
    <row r="12" spans="1:18" ht="20.100000000000001" customHeight="1" x14ac:dyDescent="0.25">
      <c r="A12" s="43" t="s">
        <v>51</v>
      </c>
      <c r="B12" s="2" t="s">
        <v>41</v>
      </c>
      <c r="C12" s="3">
        <v>20664</v>
      </c>
      <c r="D12" s="3">
        <v>23500</v>
      </c>
      <c r="E12" s="132">
        <f>AVERAGE(C12:D12)</f>
        <v>22082</v>
      </c>
      <c r="F12" s="133">
        <f t="shared" si="0"/>
        <v>1766560</v>
      </c>
      <c r="G12" s="133">
        <f t="shared" si="1"/>
        <v>2208200</v>
      </c>
      <c r="H12" s="133">
        <f>E12*125</f>
        <v>2760250</v>
      </c>
      <c r="I12" s="135">
        <f>D12*80</f>
        <v>1880000</v>
      </c>
      <c r="J12" s="135">
        <f>D12*100</f>
        <v>2350000</v>
      </c>
      <c r="K12" s="135">
        <f>D12*125</f>
        <v>2937500</v>
      </c>
      <c r="L12" s="135">
        <f>C12*88</f>
        <v>1818432</v>
      </c>
      <c r="M12" s="135">
        <f>C12*108</f>
        <v>2231712</v>
      </c>
      <c r="N12" s="135">
        <f>C12*135</f>
        <v>2789640</v>
      </c>
      <c r="O12" s="135">
        <f>AVERAGE(I12,L12)</f>
        <v>1849216</v>
      </c>
      <c r="P12" s="135">
        <f>AVERAGE(J12,M12)</f>
        <v>2290856</v>
      </c>
      <c r="Q12" s="135">
        <f>AVERAGE(K12,N12)</f>
        <v>2863570</v>
      </c>
      <c r="R12" s="44"/>
    </row>
    <row r="13" spans="1:18" ht="18" hidden="1" customHeight="1" x14ac:dyDescent="0.25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74"/>
    </row>
    <row r="14" spans="1:18" ht="18" hidden="1" customHeight="1" x14ac:dyDescent="0.25">
      <c r="A14" s="54"/>
      <c r="B14" s="51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4"/>
    </row>
    <row r="15" spans="1:18" ht="20.100000000000001" customHeight="1" x14ac:dyDescent="0.25">
      <c r="A15" s="43" t="s">
        <v>51</v>
      </c>
      <c r="B15" s="2" t="s">
        <v>13</v>
      </c>
      <c r="C15" s="3">
        <v>10974</v>
      </c>
      <c r="D15" s="3">
        <v>11300</v>
      </c>
      <c r="E15" s="132">
        <f>AVERAGE(C15:D15)</f>
        <v>11137</v>
      </c>
      <c r="F15" s="133">
        <f t="shared" si="0"/>
        <v>890960</v>
      </c>
      <c r="G15" s="133">
        <f t="shared" si="1"/>
        <v>1113700</v>
      </c>
      <c r="H15" s="133">
        <f>E15*125</f>
        <v>1392125</v>
      </c>
      <c r="I15" s="135">
        <f>D15*80</f>
        <v>904000</v>
      </c>
      <c r="J15" s="135">
        <f>D15*100</f>
        <v>1130000</v>
      </c>
      <c r="K15" s="135">
        <f>D15*125</f>
        <v>1412500</v>
      </c>
      <c r="L15" s="135">
        <f>C15*88</f>
        <v>965712</v>
      </c>
      <c r="M15" s="135">
        <f>C15*108</f>
        <v>1185192</v>
      </c>
      <c r="N15" s="135">
        <f>C15*135</f>
        <v>1481490</v>
      </c>
      <c r="O15" s="135">
        <f>AVERAGE(I15,L15)</f>
        <v>934856</v>
      </c>
      <c r="P15" s="135">
        <f>AVERAGE(J15,M15)</f>
        <v>1157596</v>
      </c>
      <c r="Q15" s="135">
        <f>AVERAGE(K15,N15)</f>
        <v>1446995</v>
      </c>
      <c r="R15" s="44"/>
    </row>
    <row r="16" spans="1:18" ht="18" hidden="1" customHeight="1" x14ac:dyDescent="0.25">
      <c r="A16" s="43"/>
      <c r="B16" s="51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72"/>
    </row>
    <row r="17" spans="1:18" ht="20.100000000000001" customHeight="1" x14ac:dyDescent="0.25">
      <c r="A17" s="43" t="s">
        <v>51</v>
      </c>
      <c r="B17" s="2" t="s">
        <v>60</v>
      </c>
      <c r="C17" s="3">
        <v>12054</v>
      </c>
      <c r="D17" s="3">
        <v>13800</v>
      </c>
      <c r="E17" s="132">
        <f>AVERAGE(C17:D17)</f>
        <v>12927</v>
      </c>
      <c r="F17" s="133">
        <f t="shared" si="0"/>
        <v>1034160</v>
      </c>
      <c r="G17" s="133">
        <f t="shared" si="1"/>
        <v>1292700</v>
      </c>
      <c r="H17" s="133">
        <f>E17*125</f>
        <v>1615875</v>
      </c>
      <c r="I17" s="135">
        <f>D17*80</f>
        <v>1104000</v>
      </c>
      <c r="J17" s="135">
        <f>D17*100</f>
        <v>1380000</v>
      </c>
      <c r="K17" s="135">
        <f>D17*125</f>
        <v>1725000</v>
      </c>
      <c r="L17" s="135">
        <f>C17*88</f>
        <v>1060752</v>
      </c>
      <c r="M17" s="135">
        <f>C17*108</f>
        <v>1301832</v>
      </c>
      <c r="N17" s="135">
        <f>C17*135</f>
        <v>1627290</v>
      </c>
      <c r="O17" s="135">
        <f>AVERAGE(I17,L17)</f>
        <v>1082376</v>
      </c>
      <c r="P17" s="135">
        <f>AVERAGE(J17,M17)</f>
        <v>1340916</v>
      </c>
      <c r="Q17" s="135">
        <f>AVERAGE(K17,N17)</f>
        <v>1676145</v>
      </c>
      <c r="R17" s="44"/>
    </row>
    <row r="18" spans="1:18" ht="18" hidden="1" customHeight="1" x14ac:dyDescent="0.25">
      <c r="A18" s="43"/>
      <c r="B18" s="51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75"/>
    </row>
    <row r="19" spans="1:18" ht="20.100000000000001" customHeight="1" x14ac:dyDescent="0.25">
      <c r="A19" s="54" t="s">
        <v>51</v>
      </c>
      <c r="B19" s="2" t="s">
        <v>61</v>
      </c>
      <c r="C19" s="3">
        <v>21110</v>
      </c>
      <c r="D19" s="3">
        <v>23600</v>
      </c>
      <c r="E19" s="132">
        <f t="shared" ref="E19:E20" si="13">AVERAGE(C19:D19)</f>
        <v>22355</v>
      </c>
      <c r="F19" s="133">
        <f t="shared" si="0"/>
        <v>1788400</v>
      </c>
      <c r="G19" s="133">
        <f t="shared" si="1"/>
        <v>2235500</v>
      </c>
      <c r="H19" s="133">
        <f t="shared" ref="H19:H20" si="14">E19*125</f>
        <v>2794375</v>
      </c>
      <c r="I19" s="135">
        <f t="shared" ref="I19:I20" si="15">D19*80</f>
        <v>1888000</v>
      </c>
      <c r="J19" s="135">
        <f t="shared" ref="J19:J20" si="16">D19*100</f>
        <v>2360000</v>
      </c>
      <c r="K19" s="135">
        <f t="shared" ref="K19:K20" si="17">D19*125</f>
        <v>2950000</v>
      </c>
      <c r="L19" s="135">
        <f t="shared" ref="L19:L20" si="18">C19*88</f>
        <v>1857680</v>
      </c>
      <c r="M19" s="135">
        <f t="shared" ref="M19:M20" si="19">C19*108</f>
        <v>2279880</v>
      </c>
      <c r="N19" s="135">
        <f t="shared" ref="N19:N20" si="20">C19*135</f>
        <v>2849850</v>
      </c>
      <c r="O19" s="135">
        <f t="shared" ref="O19:O20" si="21">AVERAGE(I19,L19)</f>
        <v>1872840</v>
      </c>
      <c r="P19" s="135">
        <f t="shared" ref="P19:P20" si="22">AVERAGE(J19,M19)</f>
        <v>2319940</v>
      </c>
      <c r="Q19" s="135">
        <f t="shared" ref="Q19:Q20" si="23">AVERAGE(K19,N19)</f>
        <v>2899925</v>
      </c>
      <c r="R19" s="44"/>
    </row>
    <row r="20" spans="1:18" ht="20.100000000000001" customHeight="1" x14ac:dyDescent="0.25">
      <c r="A20" s="43" t="s">
        <v>51</v>
      </c>
      <c r="B20" s="2" t="s">
        <v>43</v>
      </c>
      <c r="C20" s="3">
        <v>33416</v>
      </c>
      <c r="D20" s="3">
        <v>27400</v>
      </c>
      <c r="E20" s="132">
        <f t="shared" si="13"/>
        <v>30408</v>
      </c>
      <c r="F20" s="133">
        <f t="shared" si="0"/>
        <v>2432640</v>
      </c>
      <c r="G20" s="133">
        <f t="shared" si="1"/>
        <v>3040800</v>
      </c>
      <c r="H20" s="133">
        <f t="shared" si="14"/>
        <v>3801000</v>
      </c>
      <c r="I20" s="135">
        <f t="shared" si="15"/>
        <v>2192000</v>
      </c>
      <c r="J20" s="135">
        <f t="shared" si="16"/>
        <v>2740000</v>
      </c>
      <c r="K20" s="135">
        <f t="shared" si="17"/>
        <v>3425000</v>
      </c>
      <c r="L20" s="135">
        <f t="shared" si="18"/>
        <v>2940608</v>
      </c>
      <c r="M20" s="135">
        <f t="shared" si="19"/>
        <v>3608928</v>
      </c>
      <c r="N20" s="135">
        <f t="shared" si="20"/>
        <v>4511160</v>
      </c>
      <c r="O20" s="135">
        <f t="shared" si="21"/>
        <v>2566304</v>
      </c>
      <c r="P20" s="135">
        <f t="shared" si="22"/>
        <v>3174464</v>
      </c>
      <c r="Q20" s="135">
        <f t="shared" si="23"/>
        <v>3968080</v>
      </c>
      <c r="R20" s="44"/>
    </row>
    <row r="21" spans="1:18" ht="18" hidden="1" customHeight="1" x14ac:dyDescent="0.25">
      <c r="A21" s="43"/>
      <c r="B21" s="51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76"/>
    </row>
    <row r="22" spans="1:18" ht="20.100000000000001" customHeight="1" x14ac:dyDescent="0.25">
      <c r="A22" s="54" t="s">
        <v>51</v>
      </c>
      <c r="B22" s="2" t="s">
        <v>62</v>
      </c>
      <c r="C22" s="3">
        <v>28464</v>
      </c>
      <c r="D22" s="3">
        <v>30100</v>
      </c>
      <c r="E22" s="132">
        <f t="shared" ref="E22:E24" si="24">AVERAGE(C22:D22)</f>
        <v>29282</v>
      </c>
      <c r="F22" s="133">
        <f t="shared" si="0"/>
        <v>2342560</v>
      </c>
      <c r="G22" s="133">
        <f t="shared" si="1"/>
        <v>2928200</v>
      </c>
      <c r="H22" s="133">
        <f t="shared" ref="H22:H23" si="25">E22*125</f>
        <v>3660250</v>
      </c>
      <c r="I22" s="135">
        <f t="shared" ref="I22:I24" si="26">D22*80</f>
        <v>2408000</v>
      </c>
      <c r="J22" s="135">
        <f t="shared" ref="J22:J24" si="27">D22*100</f>
        <v>3010000</v>
      </c>
      <c r="K22" s="135">
        <f t="shared" ref="K22:K24" si="28">D22*125</f>
        <v>3762500</v>
      </c>
      <c r="L22" s="135">
        <f t="shared" ref="L22:L24" si="29">C22*88</f>
        <v>2504832</v>
      </c>
      <c r="M22" s="135">
        <f t="shared" ref="M22:M24" si="30">C22*108</f>
        <v>3074112</v>
      </c>
      <c r="N22" s="135">
        <f t="shared" ref="N22:N24" si="31">C22*135</f>
        <v>3842640</v>
      </c>
      <c r="O22" s="135">
        <f t="shared" ref="O22:O24" si="32">AVERAGE(I22,L22)</f>
        <v>2456416</v>
      </c>
      <c r="P22" s="135">
        <f t="shared" ref="P22:P24" si="33">AVERAGE(J22,M22)</f>
        <v>3042056</v>
      </c>
      <c r="Q22" s="135">
        <f t="shared" ref="Q22:Q24" si="34">AVERAGE(K22,N22)</f>
        <v>3802570</v>
      </c>
      <c r="R22" s="42"/>
    </row>
    <row r="23" spans="1:18" ht="20.100000000000001" customHeight="1" x14ac:dyDescent="0.25">
      <c r="A23" s="54" t="s">
        <v>51</v>
      </c>
      <c r="B23" s="2" t="s">
        <v>63</v>
      </c>
      <c r="C23" s="3">
        <v>32804</v>
      </c>
      <c r="D23" s="3">
        <v>41800</v>
      </c>
      <c r="E23" s="132">
        <f t="shared" si="24"/>
        <v>37302</v>
      </c>
      <c r="F23" s="133">
        <f t="shared" si="0"/>
        <v>2984160</v>
      </c>
      <c r="G23" s="133">
        <f t="shared" si="1"/>
        <v>3730200</v>
      </c>
      <c r="H23" s="133">
        <f t="shared" si="25"/>
        <v>4662750</v>
      </c>
      <c r="I23" s="135">
        <f t="shared" si="26"/>
        <v>3344000</v>
      </c>
      <c r="J23" s="135">
        <f t="shared" si="27"/>
        <v>4180000</v>
      </c>
      <c r="K23" s="135">
        <f t="shared" si="28"/>
        <v>5225000</v>
      </c>
      <c r="L23" s="135">
        <f t="shared" si="29"/>
        <v>2886752</v>
      </c>
      <c r="M23" s="135">
        <f t="shared" si="30"/>
        <v>3542832</v>
      </c>
      <c r="N23" s="135">
        <f t="shared" si="31"/>
        <v>4428540</v>
      </c>
      <c r="O23" s="135">
        <f t="shared" si="32"/>
        <v>3115376</v>
      </c>
      <c r="P23" s="135">
        <f t="shared" si="33"/>
        <v>3861416</v>
      </c>
      <c r="Q23" s="135">
        <f t="shared" si="34"/>
        <v>4826770</v>
      </c>
      <c r="R23" s="42"/>
    </row>
    <row r="24" spans="1:18" ht="20.100000000000001" customHeight="1" x14ac:dyDescent="0.25">
      <c r="A24" s="54" t="s">
        <v>51</v>
      </c>
      <c r="B24" s="2" t="s">
        <v>64</v>
      </c>
      <c r="C24" s="3">
        <v>14388</v>
      </c>
      <c r="D24" s="3">
        <v>14700</v>
      </c>
      <c r="E24" s="132">
        <f t="shared" si="24"/>
        <v>14544</v>
      </c>
      <c r="F24" s="133">
        <f t="shared" si="0"/>
        <v>1163520</v>
      </c>
      <c r="G24" s="133">
        <f t="shared" si="1"/>
        <v>1454400</v>
      </c>
      <c r="H24" s="133">
        <f>E24*137</f>
        <v>1992528</v>
      </c>
      <c r="I24" s="135">
        <f t="shared" si="26"/>
        <v>1176000</v>
      </c>
      <c r="J24" s="135">
        <f t="shared" si="27"/>
        <v>1470000</v>
      </c>
      <c r="K24" s="135">
        <f t="shared" si="28"/>
        <v>1837500</v>
      </c>
      <c r="L24" s="135">
        <f t="shared" si="29"/>
        <v>1266144</v>
      </c>
      <c r="M24" s="135">
        <f t="shared" si="30"/>
        <v>1553904</v>
      </c>
      <c r="N24" s="135">
        <f t="shared" si="31"/>
        <v>1942380</v>
      </c>
      <c r="O24" s="135">
        <f t="shared" si="32"/>
        <v>1221072</v>
      </c>
      <c r="P24" s="135">
        <f t="shared" si="33"/>
        <v>1511952</v>
      </c>
      <c r="Q24" s="135">
        <f t="shared" si="34"/>
        <v>1889940</v>
      </c>
      <c r="R24" s="42"/>
    </row>
    <row r="25" spans="1:18" ht="18" hidden="1" customHeight="1" x14ac:dyDescent="0.25">
      <c r="A25" s="54"/>
      <c r="B25" s="55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77"/>
    </row>
    <row r="26" spans="1:18" ht="18" hidden="1" customHeight="1" x14ac:dyDescent="0.25">
      <c r="A26" s="54"/>
      <c r="B26" s="55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42"/>
    </row>
    <row r="27" spans="1:18" ht="18" hidden="1" customHeight="1" x14ac:dyDescent="0.25">
      <c r="A27" s="54"/>
      <c r="B27" s="51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70"/>
    </row>
    <row r="28" spans="1:18" ht="20.100000000000001" customHeight="1" x14ac:dyDescent="0.25">
      <c r="A28" s="43" t="s">
        <v>51</v>
      </c>
      <c r="B28" s="2" t="s">
        <v>66</v>
      </c>
      <c r="C28" s="3">
        <v>11315</v>
      </c>
      <c r="D28" s="3">
        <v>13400</v>
      </c>
      <c r="E28" s="132">
        <f>AVERAGE(C28:D28)</f>
        <v>12357.5</v>
      </c>
      <c r="F28" s="133">
        <f t="shared" si="0"/>
        <v>988600</v>
      </c>
      <c r="G28" s="133">
        <f t="shared" si="1"/>
        <v>1235750</v>
      </c>
      <c r="H28" s="133">
        <f>E28*125</f>
        <v>1544687.5</v>
      </c>
      <c r="I28" s="135">
        <f>D28*80</f>
        <v>1072000</v>
      </c>
      <c r="J28" s="135">
        <f>D28*100</f>
        <v>1340000</v>
      </c>
      <c r="K28" s="135">
        <f>D28*125</f>
        <v>1675000</v>
      </c>
      <c r="L28" s="135">
        <f>C28*88</f>
        <v>995720</v>
      </c>
      <c r="M28" s="135">
        <f>C28*108</f>
        <v>1222020</v>
      </c>
      <c r="N28" s="135">
        <f>C28*135</f>
        <v>1527525</v>
      </c>
      <c r="O28" s="135">
        <f>AVERAGE(I28,L28)</f>
        <v>1033860</v>
      </c>
      <c r="P28" s="135">
        <f>AVERAGE(J28,M28)</f>
        <v>1281010</v>
      </c>
      <c r="Q28" s="135">
        <f>AVERAGE(K28,N28)</f>
        <v>1601262.5</v>
      </c>
      <c r="R28" s="42"/>
    </row>
    <row r="29" spans="1:18" ht="18" hidden="1" customHeight="1" x14ac:dyDescent="0.25">
      <c r="A29" s="43"/>
      <c r="B29" s="51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76"/>
    </row>
    <row r="30" spans="1:18" ht="20.100000000000001" customHeight="1" x14ac:dyDescent="0.25">
      <c r="A30" s="54" t="s">
        <v>51</v>
      </c>
      <c r="B30" s="2" t="s">
        <v>65</v>
      </c>
      <c r="C30" s="3">
        <v>10112</v>
      </c>
      <c r="D30" s="3">
        <v>12200</v>
      </c>
      <c r="E30" s="132">
        <f>AVERAGE(C30:D30)</f>
        <v>11156</v>
      </c>
      <c r="F30" s="133">
        <f t="shared" si="0"/>
        <v>892480</v>
      </c>
      <c r="G30" s="133">
        <f t="shared" si="1"/>
        <v>1115600</v>
      </c>
      <c r="H30" s="133">
        <f t="shared" ref="H30:H31" si="35">E30*125</f>
        <v>1394500</v>
      </c>
      <c r="I30" s="135">
        <f t="shared" ref="I30:I31" si="36">D30*80</f>
        <v>976000</v>
      </c>
      <c r="J30" s="135">
        <f t="shared" ref="J30:J31" si="37">D30*100</f>
        <v>1220000</v>
      </c>
      <c r="K30" s="135">
        <f t="shared" ref="K30:K31" si="38">D30*125</f>
        <v>1525000</v>
      </c>
      <c r="L30" s="135">
        <f t="shared" ref="L30:L31" si="39">C30*88</f>
        <v>889856</v>
      </c>
      <c r="M30" s="135">
        <f t="shared" ref="M30:M31" si="40">C30*108</f>
        <v>1092096</v>
      </c>
      <c r="N30" s="135">
        <f t="shared" ref="N30:N36" si="41">C30*135</f>
        <v>1365120</v>
      </c>
      <c r="O30" s="135">
        <f t="shared" ref="O30:O31" si="42">AVERAGE(I30,L30)</f>
        <v>932928</v>
      </c>
      <c r="P30" s="135">
        <f t="shared" ref="P30:P31" si="43">AVERAGE(J30,M30)</f>
        <v>1156048</v>
      </c>
      <c r="Q30" s="135">
        <f t="shared" ref="Q30:Q31" si="44">AVERAGE(K30,N30)</f>
        <v>1445060</v>
      </c>
      <c r="R30" s="42"/>
    </row>
    <row r="31" spans="1:18" ht="20.100000000000001" customHeight="1" x14ac:dyDescent="0.25">
      <c r="A31" s="43" t="s">
        <v>51</v>
      </c>
      <c r="B31" s="2" t="s">
        <v>53</v>
      </c>
      <c r="C31" s="3">
        <v>14821</v>
      </c>
      <c r="D31" s="3">
        <v>14600</v>
      </c>
      <c r="E31" s="132">
        <f t="shared" ref="E31" si="45">AVERAGE(C31:D31)</f>
        <v>14710.5</v>
      </c>
      <c r="F31" s="133">
        <f t="shared" si="0"/>
        <v>1176840</v>
      </c>
      <c r="G31" s="133">
        <f t="shared" si="1"/>
        <v>1471050</v>
      </c>
      <c r="H31" s="133">
        <f t="shared" si="35"/>
        <v>1838812.5</v>
      </c>
      <c r="I31" s="135">
        <f t="shared" si="36"/>
        <v>1168000</v>
      </c>
      <c r="J31" s="135">
        <f t="shared" si="37"/>
        <v>1460000</v>
      </c>
      <c r="K31" s="135">
        <f t="shared" si="38"/>
        <v>1825000</v>
      </c>
      <c r="L31" s="135">
        <f t="shared" si="39"/>
        <v>1304248</v>
      </c>
      <c r="M31" s="135">
        <f t="shared" si="40"/>
        <v>1600668</v>
      </c>
      <c r="N31" s="135">
        <f t="shared" si="41"/>
        <v>2000835</v>
      </c>
      <c r="O31" s="135">
        <f t="shared" si="42"/>
        <v>1236124</v>
      </c>
      <c r="P31" s="135">
        <f t="shared" si="43"/>
        <v>1530334</v>
      </c>
      <c r="Q31" s="135">
        <f t="shared" si="44"/>
        <v>1912917.5</v>
      </c>
      <c r="R31" s="9"/>
    </row>
    <row r="32" spans="1:18" ht="18" hidden="1" customHeight="1" x14ac:dyDescent="0.25">
      <c r="A32" s="43"/>
      <c r="B32" s="51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72"/>
    </row>
    <row r="33" spans="1:26" ht="20.100000000000001" customHeight="1" x14ac:dyDescent="0.25">
      <c r="A33" s="54" t="s">
        <v>51</v>
      </c>
      <c r="B33" s="2" t="s">
        <v>68</v>
      </c>
      <c r="C33" s="3">
        <v>28786</v>
      </c>
      <c r="D33" s="3">
        <v>29100</v>
      </c>
      <c r="E33" s="132">
        <f t="shared" ref="E33:E36" si="46">AVERAGE(C33:D33)</f>
        <v>28943</v>
      </c>
      <c r="F33" s="133">
        <f t="shared" si="0"/>
        <v>2315440</v>
      </c>
      <c r="G33" s="133">
        <f t="shared" si="1"/>
        <v>2894300</v>
      </c>
      <c r="H33" s="133">
        <f t="shared" ref="H33:H36" si="47">E33*125</f>
        <v>3617875</v>
      </c>
      <c r="I33" s="135">
        <f t="shared" ref="I33:I36" si="48">D33*80</f>
        <v>2328000</v>
      </c>
      <c r="J33" s="135">
        <f t="shared" ref="J33:J36" si="49">D33*100</f>
        <v>2910000</v>
      </c>
      <c r="K33" s="135">
        <f t="shared" ref="K33:K36" si="50">D33*125</f>
        <v>3637500</v>
      </c>
      <c r="L33" s="135">
        <f t="shared" ref="L33:L36" si="51">C33*88</f>
        <v>2533168</v>
      </c>
      <c r="M33" s="135">
        <f t="shared" ref="M33:M36" si="52">C33*108</f>
        <v>3108888</v>
      </c>
      <c r="N33" s="135">
        <f t="shared" si="41"/>
        <v>3886110</v>
      </c>
      <c r="O33" s="135">
        <f t="shared" ref="O33:O36" si="53">AVERAGE(I33,L33)</f>
        <v>2430584</v>
      </c>
      <c r="P33" s="135">
        <f t="shared" ref="P33:P36" si="54">AVERAGE(J33,M33)</f>
        <v>3009444</v>
      </c>
      <c r="Q33" s="135">
        <f t="shared" ref="Q33:Q36" si="55">AVERAGE(K33,N33)</f>
        <v>3761805</v>
      </c>
      <c r="R33" s="9"/>
    </row>
    <row r="34" spans="1:26" ht="20.100000000000001" customHeight="1" x14ac:dyDescent="0.25">
      <c r="A34" s="43" t="s">
        <v>51</v>
      </c>
      <c r="B34" s="2" t="s">
        <v>67</v>
      </c>
      <c r="C34" s="3">
        <v>23288</v>
      </c>
      <c r="D34" s="3">
        <v>26400</v>
      </c>
      <c r="E34" s="132">
        <f t="shared" si="46"/>
        <v>24844</v>
      </c>
      <c r="F34" s="133">
        <f t="shared" si="0"/>
        <v>1987520</v>
      </c>
      <c r="G34" s="133">
        <f t="shared" si="1"/>
        <v>2484400</v>
      </c>
      <c r="H34" s="133">
        <f t="shared" si="47"/>
        <v>3105500</v>
      </c>
      <c r="I34" s="135">
        <f t="shared" si="48"/>
        <v>2112000</v>
      </c>
      <c r="J34" s="135">
        <f t="shared" si="49"/>
        <v>2640000</v>
      </c>
      <c r="K34" s="135">
        <f t="shared" si="50"/>
        <v>3300000</v>
      </c>
      <c r="L34" s="135">
        <f t="shared" si="51"/>
        <v>2049344</v>
      </c>
      <c r="M34" s="135">
        <f t="shared" si="52"/>
        <v>2515104</v>
      </c>
      <c r="N34" s="135">
        <f t="shared" si="41"/>
        <v>3143880</v>
      </c>
      <c r="O34" s="135">
        <f t="shared" si="53"/>
        <v>2080672</v>
      </c>
      <c r="P34" s="135">
        <f t="shared" si="54"/>
        <v>2577552</v>
      </c>
      <c r="Q34" s="135">
        <f t="shared" si="55"/>
        <v>3221940</v>
      </c>
      <c r="R34" s="9"/>
    </row>
    <row r="35" spans="1:26" ht="20.100000000000001" customHeight="1" x14ac:dyDescent="0.25">
      <c r="A35" s="43" t="s">
        <v>51</v>
      </c>
      <c r="B35" s="2" t="s">
        <v>69</v>
      </c>
      <c r="C35" s="3">
        <v>15798</v>
      </c>
      <c r="D35" s="3">
        <v>14400</v>
      </c>
      <c r="E35" s="132">
        <f t="shared" si="46"/>
        <v>15099</v>
      </c>
      <c r="F35" s="133">
        <f t="shared" si="0"/>
        <v>1207920</v>
      </c>
      <c r="G35" s="133">
        <f t="shared" si="1"/>
        <v>1509900</v>
      </c>
      <c r="H35" s="133">
        <f t="shared" si="47"/>
        <v>1887375</v>
      </c>
      <c r="I35" s="135">
        <f t="shared" si="48"/>
        <v>1152000</v>
      </c>
      <c r="J35" s="135">
        <f t="shared" si="49"/>
        <v>1440000</v>
      </c>
      <c r="K35" s="135">
        <f t="shared" si="50"/>
        <v>1800000</v>
      </c>
      <c r="L35" s="135">
        <f t="shared" si="51"/>
        <v>1390224</v>
      </c>
      <c r="M35" s="135">
        <f t="shared" si="52"/>
        <v>1706184</v>
      </c>
      <c r="N35" s="135">
        <f t="shared" si="41"/>
        <v>2132730</v>
      </c>
      <c r="O35" s="135">
        <f t="shared" si="53"/>
        <v>1271112</v>
      </c>
      <c r="P35" s="135">
        <f t="shared" si="54"/>
        <v>1573092</v>
      </c>
      <c r="Q35" s="135">
        <f t="shared" si="55"/>
        <v>1966365</v>
      </c>
      <c r="R35" s="9"/>
    </row>
    <row r="36" spans="1:26" ht="20.100000000000001" customHeight="1" x14ac:dyDescent="0.25">
      <c r="A36" s="54" t="s">
        <v>51</v>
      </c>
      <c r="B36" s="2" t="s">
        <v>70</v>
      </c>
      <c r="C36" s="3">
        <v>12750</v>
      </c>
      <c r="D36" s="3">
        <v>12400</v>
      </c>
      <c r="E36" s="132">
        <f t="shared" si="46"/>
        <v>12575</v>
      </c>
      <c r="F36" s="133">
        <f t="shared" si="0"/>
        <v>1006000</v>
      </c>
      <c r="G36" s="133">
        <f t="shared" si="1"/>
        <v>1257500</v>
      </c>
      <c r="H36" s="133">
        <f t="shared" si="47"/>
        <v>1571875</v>
      </c>
      <c r="I36" s="135">
        <f t="shared" si="48"/>
        <v>992000</v>
      </c>
      <c r="J36" s="135">
        <f t="shared" si="49"/>
        <v>1240000</v>
      </c>
      <c r="K36" s="135">
        <f t="shared" si="50"/>
        <v>1550000</v>
      </c>
      <c r="L36" s="135">
        <f t="shared" si="51"/>
        <v>1122000</v>
      </c>
      <c r="M36" s="135">
        <f t="shared" si="52"/>
        <v>1377000</v>
      </c>
      <c r="N36" s="135">
        <f t="shared" si="41"/>
        <v>1721250</v>
      </c>
      <c r="O36" s="135">
        <f t="shared" si="53"/>
        <v>1057000</v>
      </c>
      <c r="P36" s="135">
        <f t="shared" si="54"/>
        <v>1308500</v>
      </c>
      <c r="Q36" s="135">
        <f t="shared" si="55"/>
        <v>1635625</v>
      </c>
      <c r="R36" s="9"/>
      <c r="Z36" s="86"/>
    </row>
    <row r="37" spans="1:26" ht="18" hidden="1" customHeight="1" x14ac:dyDescent="0.25">
      <c r="A37" s="43"/>
      <c r="B37" s="55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77"/>
    </row>
    <row r="38" spans="1:26" ht="18" hidden="1" customHeight="1" x14ac:dyDescent="0.25">
      <c r="A38" s="43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44"/>
    </row>
    <row r="39" spans="1:26" ht="18" hidden="1" customHeight="1" x14ac:dyDescent="0.25">
      <c r="A39" s="43"/>
      <c r="B39" s="66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70"/>
    </row>
    <row r="40" spans="1:26" ht="20.100000000000001" customHeight="1" x14ac:dyDescent="0.25">
      <c r="A40" s="43" t="s">
        <v>51</v>
      </c>
      <c r="B40" s="2" t="s">
        <v>16</v>
      </c>
      <c r="C40" s="3">
        <v>17761</v>
      </c>
      <c r="D40" s="3">
        <v>17900</v>
      </c>
      <c r="E40" s="132">
        <f>AVERAGE(C40:D40)</f>
        <v>17830.5</v>
      </c>
      <c r="F40" s="133">
        <f t="shared" si="0"/>
        <v>1426440</v>
      </c>
      <c r="G40" s="133">
        <f t="shared" si="1"/>
        <v>1783050</v>
      </c>
      <c r="H40" s="133">
        <f>E40*125</f>
        <v>2228812.5</v>
      </c>
      <c r="I40" s="135">
        <f>D40*80</f>
        <v>1432000</v>
      </c>
      <c r="J40" s="135">
        <f>D40*100</f>
        <v>1790000</v>
      </c>
      <c r="K40" s="135">
        <f>D40*125</f>
        <v>2237500</v>
      </c>
      <c r="L40" s="135">
        <f>C40*88</f>
        <v>1562968</v>
      </c>
      <c r="M40" s="135">
        <f>C40*108</f>
        <v>1918188</v>
      </c>
      <c r="N40" s="135">
        <f t="shared" ref="N40" si="56">C40*135</f>
        <v>2397735</v>
      </c>
      <c r="O40" s="135">
        <f>AVERAGE(I40,L40)</f>
        <v>1497484</v>
      </c>
      <c r="P40" s="135">
        <f>AVERAGE(J40,M40)</f>
        <v>1854094</v>
      </c>
      <c r="Q40" s="135">
        <f>AVERAGE(K40,N40)</f>
        <v>2317617.5</v>
      </c>
      <c r="R40" s="42"/>
    </row>
    <row r="41" spans="1:26" ht="18" hidden="1" customHeight="1" x14ac:dyDescent="0.25">
      <c r="A41" s="43"/>
      <c r="B41" s="55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77"/>
    </row>
    <row r="42" spans="1:26" ht="18" hidden="1" customHeight="1" x14ac:dyDescent="0.25">
      <c r="A42" s="43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44" t="s">
        <v>47</v>
      </c>
    </row>
    <row r="43" spans="1:26" ht="18" hidden="1" customHeight="1" x14ac:dyDescent="0.25">
      <c r="A43" s="43"/>
      <c r="B43" s="66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65"/>
    </row>
    <row r="44" spans="1:26" ht="20.100000000000001" customHeight="1" x14ac:dyDescent="0.25">
      <c r="A44" s="41" t="s">
        <v>51</v>
      </c>
      <c r="B44" s="2" t="s">
        <v>38</v>
      </c>
      <c r="C44" s="3">
        <v>20535</v>
      </c>
      <c r="D44" s="3">
        <v>21500</v>
      </c>
      <c r="E44" s="132">
        <f>AVERAGE(C44:D44)</f>
        <v>21017.5</v>
      </c>
      <c r="F44" s="133">
        <f t="shared" si="0"/>
        <v>1681400</v>
      </c>
      <c r="G44" s="133">
        <f t="shared" si="1"/>
        <v>2101750</v>
      </c>
      <c r="H44" s="133">
        <f>E44*125</f>
        <v>2627187.5</v>
      </c>
      <c r="I44" s="135">
        <f>D44*80</f>
        <v>1720000</v>
      </c>
      <c r="J44" s="135">
        <f>D44*100</f>
        <v>2150000</v>
      </c>
      <c r="K44" s="135">
        <f>D44*125</f>
        <v>2687500</v>
      </c>
      <c r="L44" s="135">
        <f>C44*88</f>
        <v>1807080</v>
      </c>
      <c r="M44" s="135">
        <f>C44*108</f>
        <v>2217780</v>
      </c>
      <c r="N44" s="135">
        <f t="shared" ref="N44" si="57">C44*135</f>
        <v>2772225</v>
      </c>
      <c r="O44" s="135">
        <f>AVERAGE(I44,L44)</f>
        <v>1763540</v>
      </c>
      <c r="P44" s="135">
        <f>AVERAGE(J44,M44)</f>
        <v>2183890</v>
      </c>
      <c r="Q44" s="135">
        <f>AVERAGE(K44,N44)</f>
        <v>2729862.5</v>
      </c>
      <c r="R44" s="42"/>
    </row>
    <row r="45" spans="1:26" hidden="1" x14ac:dyDescent="0.25">
      <c r="B45" s="51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52"/>
    </row>
    <row r="46" spans="1:26" hidden="1" x14ac:dyDescent="0.25">
      <c r="B46" s="51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65" t="s">
        <v>48</v>
      </c>
    </row>
    <row r="47" spans="1:26" ht="18" hidden="1" customHeight="1" x14ac:dyDescent="0.25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52"/>
    </row>
    <row r="48" spans="1:26" hidden="1" x14ac:dyDescent="0.25">
      <c r="B48" s="51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52"/>
    </row>
    <row r="49" spans="1:18" hidden="1" x14ac:dyDescent="0.25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52"/>
    </row>
    <row r="50" spans="1:18" hidden="1" x14ac:dyDescent="0.25">
      <c r="B50" s="51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1"/>
      <c r="I50" s="81"/>
      <c r="J50" s="81"/>
      <c r="K50" s="81"/>
      <c r="L50" s="81"/>
      <c r="M50" s="81"/>
      <c r="N50" s="81"/>
      <c r="O50" s="81"/>
      <c r="P50" s="81"/>
      <c r="Q50" s="81"/>
    </row>
    <row r="51" spans="1:18" hidden="1" x14ac:dyDescent="0.25">
      <c r="B51" s="51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81"/>
      <c r="I51" s="81"/>
      <c r="J51" s="81"/>
      <c r="K51" s="81"/>
      <c r="L51" s="81"/>
      <c r="M51" s="81"/>
      <c r="N51" s="81"/>
      <c r="O51" s="81"/>
      <c r="P51" s="81"/>
      <c r="Q51" s="81"/>
    </row>
    <row r="52" spans="1:18" ht="20.100000000000001" customHeight="1" x14ac:dyDescent="0.25">
      <c r="A52" s="41" t="s">
        <v>51</v>
      </c>
      <c r="B52" s="2" t="s">
        <v>71</v>
      </c>
      <c r="C52" s="3">
        <v>30691</v>
      </c>
      <c r="D52" s="3">
        <v>34600</v>
      </c>
      <c r="E52" s="132">
        <f t="shared" ref="E52:E53" si="58">AVERAGE(C52:D52)</f>
        <v>32645.5</v>
      </c>
      <c r="F52" s="133">
        <f t="shared" si="0"/>
        <v>2611640</v>
      </c>
      <c r="G52" s="133">
        <f t="shared" si="1"/>
        <v>3264550</v>
      </c>
      <c r="H52" s="133">
        <f t="shared" ref="H52:H53" si="59">E52*125</f>
        <v>4080687.5</v>
      </c>
      <c r="I52" s="135">
        <f t="shared" ref="I52:I53" si="60">D52*80</f>
        <v>2768000</v>
      </c>
      <c r="J52" s="135">
        <f t="shared" ref="J52:J53" si="61">D52*100</f>
        <v>3460000</v>
      </c>
      <c r="K52" s="135">
        <f t="shared" ref="K52:K53" si="62">D52*125</f>
        <v>4325000</v>
      </c>
      <c r="L52" s="135">
        <f t="shared" ref="L52:L53" si="63">C52*88</f>
        <v>2700808</v>
      </c>
      <c r="M52" s="135">
        <f t="shared" ref="M52:M53" si="64">C52*108</f>
        <v>3314628</v>
      </c>
      <c r="N52" s="135">
        <f t="shared" ref="N52:N53" si="65">C52*135</f>
        <v>4143285</v>
      </c>
      <c r="O52" s="135">
        <f t="shared" ref="O52:O53" si="66">AVERAGE(I52,L52)</f>
        <v>2734404</v>
      </c>
      <c r="P52" s="135">
        <f t="shared" ref="P52:P53" si="67">AVERAGE(J52,M52)</f>
        <v>3387314</v>
      </c>
      <c r="Q52" s="135">
        <f t="shared" ref="Q52:Q53" si="68">AVERAGE(K52,N52)</f>
        <v>4234142.5</v>
      </c>
      <c r="R52" s="9"/>
    </row>
    <row r="53" spans="1:18" ht="20.100000000000001" customHeight="1" x14ac:dyDescent="0.25">
      <c r="A53" s="41" t="s">
        <v>51</v>
      </c>
      <c r="B53" s="2" t="s">
        <v>72</v>
      </c>
      <c r="C53" s="3">
        <v>18356</v>
      </c>
      <c r="D53" s="3">
        <v>20100</v>
      </c>
      <c r="E53" s="132">
        <f t="shared" si="58"/>
        <v>19228</v>
      </c>
      <c r="F53" s="133">
        <f t="shared" si="0"/>
        <v>1538240</v>
      </c>
      <c r="G53" s="133">
        <f t="shared" si="1"/>
        <v>1922800</v>
      </c>
      <c r="H53" s="133">
        <f t="shared" si="59"/>
        <v>2403500</v>
      </c>
      <c r="I53" s="135">
        <f t="shared" si="60"/>
        <v>1608000</v>
      </c>
      <c r="J53" s="135">
        <f t="shared" si="61"/>
        <v>2010000</v>
      </c>
      <c r="K53" s="135">
        <f t="shared" si="62"/>
        <v>2512500</v>
      </c>
      <c r="L53" s="135">
        <f t="shared" si="63"/>
        <v>1615328</v>
      </c>
      <c r="M53" s="135">
        <f t="shared" si="64"/>
        <v>1982448</v>
      </c>
      <c r="N53" s="135">
        <f t="shared" si="65"/>
        <v>2478060</v>
      </c>
      <c r="O53" s="135">
        <f t="shared" si="66"/>
        <v>1611664</v>
      </c>
      <c r="P53" s="135">
        <f t="shared" si="67"/>
        <v>1996224</v>
      </c>
      <c r="Q53" s="135">
        <f t="shared" si="68"/>
        <v>2495280</v>
      </c>
      <c r="R53" s="9"/>
    </row>
  </sheetData>
  <autoFilter ref="A1:R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R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2025-08-18T22:44:57Z</dcterms:modified>
</cp:coreProperties>
</file>