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פרטי\למען דעת\מחיר למשתכן\טבת תשפ''ה\"/>
    </mc:Choice>
  </mc:AlternateContent>
  <xr:revisionPtr revIDLastSave="0" documentId="13_ncr:1_{F79F4572-50D8-49BB-9991-B938D46C39CA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חופשי'!$A$1:$I$40</definedName>
    <definedName name="_xlnm._FilterDatabase" localSheetId="0" hidden="1">ראשי!$A$3:$Q$17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H8" i="2" s="1"/>
  <c r="G9" i="2"/>
  <c r="G10" i="2"/>
  <c r="H10" i="2" s="1"/>
  <c r="G11" i="2"/>
  <c r="G12" i="2"/>
  <c r="G13" i="2"/>
  <c r="H13" i="2" s="1"/>
  <c r="G14" i="2"/>
  <c r="G15" i="2"/>
  <c r="G16" i="2"/>
  <c r="H16" i="2" s="1"/>
  <c r="G17" i="2"/>
  <c r="G4" i="2"/>
  <c r="H4" i="2" s="1"/>
  <c r="L4" i="2"/>
  <c r="M4" i="2" s="1"/>
  <c r="L5" i="2"/>
  <c r="L6" i="2"/>
  <c r="L7" i="2"/>
  <c r="L8" i="2"/>
  <c r="L9" i="2"/>
  <c r="L10" i="2"/>
  <c r="M10" i="2" s="1"/>
  <c r="L11" i="2"/>
  <c r="L12" i="2"/>
  <c r="L13" i="2"/>
  <c r="L14" i="2"/>
  <c r="L15" i="2"/>
  <c r="L16" i="2"/>
  <c r="M16" i="2" s="1"/>
  <c r="L17" i="2"/>
  <c r="E15" i="2"/>
  <c r="H14" i="2"/>
  <c r="H12" i="2"/>
  <c r="H5" i="2"/>
  <c r="H9" i="2"/>
  <c r="H15" i="2"/>
  <c r="M14" i="2"/>
  <c r="M8" i="2"/>
  <c r="M6" i="2"/>
  <c r="M12" i="2"/>
  <c r="M5" i="2"/>
  <c r="M11" i="2"/>
  <c r="M13" i="2"/>
  <c r="M9" i="2"/>
  <c r="M15" i="2"/>
  <c r="G40" i="4"/>
  <c r="G36" i="4"/>
  <c r="G28" i="4"/>
  <c r="G25" i="4"/>
  <c r="G24" i="4"/>
  <c r="G21" i="4"/>
  <c r="N17" i="2" s="1"/>
  <c r="G18" i="4"/>
  <c r="G17" i="4"/>
  <c r="G15" i="4"/>
  <c r="G14" i="4"/>
  <c r="G11" i="4"/>
  <c r="G8" i="4"/>
  <c r="N6" i="2" s="1"/>
  <c r="G7" i="4"/>
  <c r="F40" i="4"/>
  <c r="F36" i="4"/>
  <c r="F28" i="4"/>
  <c r="F25" i="4"/>
  <c r="F24" i="4"/>
  <c r="J11" i="2" s="1"/>
  <c r="F21" i="4"/>
  <c r="J17" i="2" s="1"/>
  <c r="F18" i="4"/>
  <c r="F17" i="4"/>
  <c r="F15" i="4"/>
  <c r="F14" i="4"/>
  <c r="F11" i="4"/>
  <c r="J7" i="2" s="1"/>
  <c r="F8" i="4"/>
  <c r="J6" i="2" s="1"/>
  <c r="F7" i="4"/>
  <c r="G2" i="4"/>
  <c r="F2" i="4"/>
  <c r="J15" i="2"/>
  <c r="I15" i="2"/>
  <c r="J5" i="2"/>
  <c r="I5" i="2"/>
  <c r="J10" i="2"/>
  <c r="I10" i="2"/>
  <c r="J14" i="2"/>
  <c r="I14" i="2"/>
  <c r="N15" i="2"/>
  <c r="N5" i="2"/>
  <c r="N11" i="2"/>
  <c r="N10" i="2"/>
  <c r="N14" i="2"/>
  <c r="E12" i="2"/>
  <c r="D15" i="2"/>
  <c r="O15" i="2"/>
  <c r="D9" i="2"/>
  <c r="E9" i="2"/>
  <c r="M7" i="2"/>
  <c r="M17" i="2"/>
  <c r="H17" i="2"/>
  <c r="H6" i="2"/>
  <c r="H7" i="2"/>
  <c r="H11" i="2"/>
  <c r="E13" i="2"/>
  <c r="D8" i="2"/>
  <c r="D11" i="2"/>
  <c r="D14" i="2"/>
  <c r="D5" i="2"/>
  <c r="D7" i="2"/>
  <c r="D4" i="2"/>
  <c r="D6" i="2"/>
  <c r="D17" i="2"/>
  <c r="D16" i="2"/>
  <c r="D10" i="2"/>
  <c r="D12" i="2"/>
  <c r="D13" i="2"/>
  <c r="E11" i="2"/>
  <c r="E14" i="2"/>
  <c r="E5" i="2"/>
  <c r="E7" i="2"/>
  <c r="E4" i="2"/>
  <c r="E6" i="2"/>
  <c r="E17" i="2"/>
  <c r="E16" i="2"/>
  <c r="E10" i="2"/>
  <c r="E8" i="2"/>
  <c r="G20" i="4"/>
  <c r="N13" i="2"/>
  <c r="G29" i="4"/>
  <c r="G30" i="4"/>
  <c r="G33" i="4"/>
  <c r="G34" i="4"/>
  <c r="N9" i="2"/>
  <c r="G37" i="4"/>
  <c r="G39" i="4"/>
  <c r="G4" i="4"/>
  <c r="G5" i="4"/>
  <c r="N8" i="2"/>
  <c r="G9" i="4"/>
  <c r="G13" i="4"/>
  <c r="N4" i="2"/>
  <c r="G19" i="4"/>
  <c r="G22" i="4"/>
  <c r="G23" i="4"/>
  <c r="G26" i="4"/>
  <c r="F4" i="4"/>
  <c r="F5" i="4"/>
  <c r="J8" i="2"/>
  <c r="F9" i="4"/>
  <c r="F13" i="4"/>
  <c r="J4" i="2"/>
  <c r="F19" i="4"/>
  <c r="F22" i="4"/>
  <c r="F23" i="4"/>
  <c r="F26" i="4"/>
  <c r="I13" i="2"/>
  <c r="F29" i="4"/>
  <c r="F30" i="4"/>
  <c r="F33" i="4"/>
  <c r="F34" i="4"/>
  <c r="J9" i="2"/>
  <c r="F37" i="4"/>
  <c r="F39" i="4"/>
  <c r="G38" i="4"/>
  <c r="F35" i="4"/>
  <c r="F32" i="4"/>
  <c r="G31" i="4"/>
  <c r="G27" i="4"/>
  <c r="O16" i="2" s="1"/>
  <c r="N16" i="2"/>
  <c r="G16" i="4"/>
  <c r="F12" i="4"/>
  <c r="F10" i="4"/>
  <c r="F6" i="4"/>
  <c r="F3" i="4"/>
  <c r="I11" i="2" l="1"/>
  <c r="O13" i="2"/>
  <c r="I6" i="2"/>
  <c r="I9" i="2"/>
  <c r="J13" i="2"/>
  <c r="I8" i="2"/>
  <c r="I4" i="2"/>
  <c r="I17" i="2"/>
  <c r="I7" i="2"/>
  <c r="O17" i="2"/>
  <c r="O4" i="2"/>
  <c r="O6" i="2"/>
  <c r="O9" i="2"/>
  <c r="O10" i="2"/>
  <c r="F20" i="4"/>
  <c r="F38" i="4"/>
  <c r="G3" i="4"/>
  <c r="G35" i="4"/>
  <c r="F16" i="4"/>
  <c r="F27" i="4"/>
  <c r="G10" i="4"/>
  <c r="F31" i="4"/>
  <c r="G12" i="4"/>
  <c r="J12" i="2"/>
  <c r="G32" i="4"/>
  <c r="G6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J16" i="2" l="1"/>
  <c r="I16" i="2"/>
  <c r="O7" i="2"/>
  <c r="N7" i="2"/>
  <c r="I12" i="2"/>
  <c r="B15" i="5"/>
  <c r="B17" i="5"/>
  <c r="A24" i="5"/>
  <c r="B10" i="5"/>
  <c r="O8" i="2"/>
  <c r="A10" i="5"/>
  <c r="O11" i="2"/>
  <c r="A17" i="5"/>
  <c r="A15" i="5"/>
  <c r="O14" i="2"/>
  <c r="B24" i="5"/>
  <c r="O5" i="2"/>
  <c r="O12" i="2"/>
  <c r="N12" i="2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<sst xmlns="http://schemas.openxmlformats.org/spreadsheetml/2006/main" count="151" uniqueCount="93">
  <si>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</si>
  <si>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</si>
  <si>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</si>
  <si>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</si>
  <si>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</si>
  <si>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</si>
  <si>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</si>
  <si>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</si>
  <si>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</si>
  <si>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</si>
  <si>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</si>
  <si>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רווח
באחוזים
לעומת
מחיר
שוק</t>
  </si>
  <si>
    <t>מיקום
בסדר
ההגרלות</t>
  </si>
  <si>
    <t>דירות
לכלל
הציבור</t>
  </si>
  <si>
    <t>דירות
לבני
מקום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</si>
  <si>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</si>
  <si>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</si>
  <si>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</si>
  <si>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</si>
  <si>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</si>
  <si>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</si>
  <si>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</si>
  <si>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</si>
  <si>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</si>
  <si>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</si>
  <si>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</si>
  <si>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</si>
  <si>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</si>
  <si>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</si>
  <si>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</si>
  <si>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</si>
  <si>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</si>
  <si>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</si>
  <si>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</si>
  <si>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</si>
  <si>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</si>
  <si>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פסגת רמות-ממוצע שלי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</si>
  <si>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</si>
  <si>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</si>
  <si>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</si>
  <si>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</si>
  <si>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</si>
  <si>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</si>
  <si>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</si>
  <si>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</si>
  <si>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</si>
  <si>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</si>
  <si>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אילת</t>
  </si>
  <si>
    <t>אשקלון</t>
  </si>
  <si>
    <t>בית דגן</t>
  </si>
  <si>
    <t>ירושלים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</si>
  <si>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</si>
  <si>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</si>
  <si>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</si>
  <si>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</si>
  <si>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</si>
  <si>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</si>
  <si>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</si>
  <si>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</si>
  <si>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</si>
  <si>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</si>
  <si>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</si>
  <si>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</si>
  <si>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סך
דירות
בהגרלה</t>
  </si>
  <si>
    <t>שמאות</t>
  </si>
  <si>
    <t>איזור השכונה</t>
  </si>
  <si>
    <t>כל העיר לפי יד 2</t>
  </si>
  <si>
    <t>רמה ה-1</t>
  </si>
  <si>
    <t>במדלן כל העיר 19,200</t>
  </si>
  <si>
    <t>במדלן כל העיר 22,600</t>
  </si>
  <si>
    <t>במדלן 8,600</t>
  </si>
  <si>
    <t>במדלן 9,700</t>
  </si>
  <si>
    <t>במדלן כל העיר 17,000</t>
  </si>
  <si>
    <t>במדלן כל העיר 27,200</t>
  </si>
  <si>
    <r>
      <t xml:space="preserve">בדיקה שלי מדלן </t>
    </r>
    <r>
      <rPr>
        <b/>
        <sz val="8"/>
        <color theme="1"/>
        <rFont val="Arial"/>
        <family val="2"/>
        <scheme val="minor"/>
      </rPr>
      <t>(+יד 2)</t>
    </r>
  </si>
  <si>
    <t>שיטות חישוב נוספות</t>
  </si>
  <si>
    <t>הגרלה נוכחית</t>
  </si>
  <si>
    <t>יש</t>
  </si>
  <si>
    <t>רווח
לעומת
מחיר
השוק</t>
  </si>
  <si>
    <t>הון עצמי הנדרש</t>
  </si>
  <si>
    <t>רווח
באחוזים
לעומת
מחיר
השוק</t>
  </si>
  <si>
    <t>נוף הגליל</t>
  </si>
  <si>
    <t>אופקים</t>
  </si>
  <si>
    <t>חיפה</t>
  </si>
  <si>
    <t>נצרת</t>
  </si>
  <si>
    <t>שדרות</t>
  </si>
  <si>
    <t>מדלן לפי עו"ד נתי וולך</t>
  </si>
  <si>
    <t>מחיר לאחר הנחה ומענק</t>
  </si>
  <si>
    <t>החזר חודשי</t>
  </si>
  <si>
    <t>מחיר לאחר ההנחה ומענק</t>
  </si>
  <si>
    <t>ההחזר חודשי</t>
  </si>
  <si>
    <t>סיכוי
זכייה לחיצוני
נכון
לעכשיו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</si>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</sst>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7" formatCode="&quot;₪&quot;\ #,##0"/>
  </numFmts>
  <fonts count="2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7" fontId="6" fillId="0" borderId="0" xfId="1" applyNumberFormat="1" applyFont="1"/>
    <xf numFmtId="164" fontId="6" fillId="0" borderId="0" xfId="2" applyNumberFormat="1" applyFont="1"/>
    <xf numFmtId="0" fontId="6" fillId="0" borderId="1" xfId="0" applyFont="1" applyBorder="1"/>
    <xf numFmtId="0" fontId="9" fillId="0" borderId="0" xfId="0" applyFont="1"/>
    <xf numFmtId="9" fontId="6" fillId="0" borderId="1" xfId="2" applyFont="1" applyBorder="1"/>
    <xf numFmtId="0" fontId="7" fillId="2" borderId="1" xfId="0" applyFont="1" applyFill="1" applyBorder="1" applyAlignment="1">
      <alignment wrapText="1"/>
    </xf>
    <xf numFmtId="0" fontId="6" fillId="0" borderId="0" xfId="0" applyFont="1" applyAlignment="1">
      <alignment horizontal="center" vertical="top" wrapText="1"/>
    </xf>
    <xf numFmtId="165" fontId="6" fillId="0" borderId="1" xfId="1" applyNumberFormat="1" applyFont="1" applyBorder="1"/>
    <xf numFmtId="0" fontId="7" fillId="2" borderId="2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6" fillId="0" borderId="7" xfId="1" applyNumberFormat="1" applyFont="1" applyBorder="1"/>
    <xf numFmtId="165" fontId="6" fillId="0" borderId="6" xfId="1" applyNumberFormat="1" applyFont="1" applyBorder="1" applyAlignment="1">
      <alignment horizontal="center"/>
    </xf>
    <xf numFmtId="165" fontId="6" fillId="0" borderId="8" xfId="1" applyNumberFormat="1" applyFont="1" applyBorder="1"/>
    <xf numFmtId="0" fontId="7" fillId="2" borderId="7" xfId="0" applyFont="1" applyFill="1" applyBorder="1" applyAlignment="1">
      <alignment wrapText="1"/>
    </xf>
    <xf numFmtId="0" fontId="7" fillId="2" borderId="8" xfId="0" applyFont="1" applyFill="1" applyBorder="1" applyAlignment="1">
      <alignment wrapText="1"/>
    </xf>
    <xf numFmtId="165" fontId="6" fillId="0" borderId="8" xfId="0" applyNumberFormat="1" applyFont="1" applyBorder="1"/>
    <xf numFmtId="0" fontId="0" fillId="0" borderId="1" xfId="0" applyBorder="1"/>
    <xf numFmtId="0" fontId="6" fillId="0" borderId="7" xfId="0" applyFont="1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1" xfId="0" applyFont="1" applyBorder="1"/>
    <xf numFmtId="0" fontId="13" fillId="0" borderId="0" xfId="0" applyFont="1"/>
    <xf numFmtId="0" fontId="17" fillId="0" borderId="0" xfId="0" applyFont="1"/>
    <xf numFmtId="0" fontId="18" fillId="0" borderId="1" xfId="0" applyFont="1" applyBorder="1"/>
    <xf numFmtId="0" fontId="17" fillId="0" borderId="1" xfId="0" applyFont="1" applyBorder="1"/>
    <xf numFmtId="0" fontId="20" fillId="0" borderId="1" xfId="0" applyFont="1" applyBorder="1"/>
    <xf numFmtId="0" fontId="4" fillId="0" borderId="1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1" fontId="6" fillId="0" borderId="2" xfId="0" applyNumberFormat="1" applyFont="1" applyBorder="1"/>
    <xf numFmtId="1" fontId="12" fillId="0" borderId="1" xfId="0" applyNumberFormat="1" applyFont="1" applyBorder="1"/>
    <xf numFmtId="0" fontId="6" fillId="0" borderId="9" xfId="0" applyFont="1" applyBorder="1"/>
    <xf numFmtId="0" fontId="6" fillId="0" borderId="10" xfId="0" applyFont="1" applyBorder="1"/>
    <xf numFmtId="1" fontId="12" fillId="0" borderId="10" xfId="0" applyNumberFormat="1" applyFont="1" applyBorder="1"/>
    <xf numFmtId="1" fontId="6" fillId="0" borderId="26" xfId="0" applyNumberFormat="1" applyFont="1" applyBorder="1"/>
    <xf numFmtId="165" fontId="6" fillId="0" borderId="9" xfId="1" applyNumberFormat="1" applyFont="1" applyBorder="1"/>
    <xf numFmtId="165" fontId="6" fillId="0" borderId="10" xfId="1" applyNumberFormat="1" applyFont="1" applyBorder="1"/>
    <xf numFmtId="9" fontId="6" fillId="0" borderId="10" xfId="2" applyFont="1" applyBorder="1"/>
    <xf numFmtId="165" fontId="6" fillId="0" borderId="11" xfId="0" applyNumberFormat="1" applyFont="1" applyBorder="1"/>
    <xf numFmtId="165" fontId="6" fillId="0" borderId="11" xfId="1" applyNumberFormat="1" applyFont="1" applyBorder="1"/>
    <xf numFmtId="165" fontId="6" fillId="0" borderId="27" xfId="1" applyNumberFormat="1" applyFont="1" applyBorder="1" applyAlignment="1">
      <alignment horizont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0" fontId="10" fillId="3" borderId="29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10" fillId="3" borderId="29" xfId="0" applyFont="1" applyFill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5" fontId="6" fillId="0" borderId="7" xfId="1" applyNumberFormat="1" applyFont="1" applyBorder="1" applyAlignment="1">
      <alignment readingOrder="2"/>
    </xf>
    <xf numFmtId="0" fontId="10" fillId="3" borderId="32" xfId="0" applyFont="1" applyFill="1" applyBorder="1" applyAlignment="1">
      <alignment horizontal="center"/>
    </xf>
    <xf numFmtId="0" fontId="10" fillId="3" borderId="3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7" fillId="0" borderId="0" xfId="0" applyFont="1" applyBorder="1"/>
    <xf numFmtId="0" fontId="5" fillId="0" borderId="1" xfId="0" applyFont="1" applyFill="1" applyBorder="1"/>
    <xf numFmtId="0" fontId="5" fillId="0" borderId="36" xfId="0" applyFont="1" applyBorder="1"/>
    <xf numFmtId="165" fontId="5" fillId="0" borderId="0" xfId="1" applyNumberFormat="1" applyFont="1" applyBorder="1"/>
    <xf numFmtId="0" fontId="13" fillId="0" borderId="0" xfId="0" applyFont="1" applyBorder="1"/>
    <xf numFmtId="0" fontId="0" fillId="0" borderId="0" xfId="0" applyBorder="1"/>
    <xf numFmtId="165" fontId="3" fillId="0" borderId="0" xfId="1" applyNumberFormat="1" applyFont="1" applyBorder="1"/>
    <xf numFmtId="0" fontId="18" fillId="0" borderId="0" xfId="0" applyFont="1" applyBorder="1"/>
    <xf numFmtId="0" fontId="4" fillId="0" borderId="28" xfId="0" applyFont="1" applyBorder="1" applyAlignment="1">
      <alignment vertical="center" wrapText="1"/>
    </xf>
    <xf numFmtId="0" fontId="0" fillId="0" borderId="6" xfId="0" applyBorder="1"/>
    <xf numFmtId="0" fontId="14" fillId="2" borderId="28" xfId="0" applyFont="1" applyFill="1" applyBorder="1" applyAlignment="1">
      <alignment horizontal="center" vertical="center" wrapText="1"/>
    </xf>
    <xf numFmtId="0" fontId="13" fillId="0" borderId="6" xfId="0" applyFont="1" applyBorder="1"/>
    <xf numFmtId="165" fontId="5" fillId="0" borderId="6" xfId="1" applyNumberFormat="1" applyFont="1" applyBorder="1"/>
    <xf numFmtId="0" fontId="17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7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0" fillId="3" borderId="20" xfId="0" applyFont="1" applyFill="1" applyBorder="1" applyAlignment="1">
      <alignment horizontal="center"/>
    </xf>
    <xf numFmtId="0" fontId="21" fillId="2" borderId="7" xfId="0" applyFont="1" applyFill="1" applyBorder="1" applyAlignment="1">
      <alignment wrapText="1"/>
    </xf>
    <xf numFmtId="2" fontId="6" fillId="0" borderId="0" xfId="2" applyNumberFormat="1" applyFont="1"/>
    <xf numFmtId="2" fontId="7" fillId="2" borderId="8" xfId="0" applyNumberFormat="1" applyFont="1" applyFill="1" applyBorder="1" applyAlignment="1">
      <alignment horizontal="center" vertical="center" wrapText="1"/>
    </xf>
    <xf numFmtId="164" fontId="6" fillId="0" borderId="8" xfId="2" applyNumberFormat="1" applyFont="1" applyBorder="1"/>
    <xf numFmtId="10" fontId="6" fillId="0" borderId="8" xfId="2" applyNumberFormat="1" applyFont="1" applyBorder="1"/>
    <xf numFmtId="0" fontId="10" fillId="3" borderId="35" xfId="0" applyFont="1" applyFill="1" applyBorder="1" applyAlignment="1">
      <alignment horizontal="center"/>
    </xf>
    <xf numFmtId="164" fontId="6" fillId="0" borderId="11" xfId="2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37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Q17" totalsRowShown="0" headerRowDxfId="36" dataDxfId="34" headerRowBorderDxfId="35" totalsRowBorderDxfId="33">
  <autoFilter ref="A3:Q17" xr:uid="{40459C0C-8BE3-4349-817C-C32C2A69F611}"/>
  <sortState xmlns:xlrd2="http://schemas.microsoft.com/office/spreadsheetml/2017/richdata2" ref="A4:Q17">
    <sortCondition ref="B3:B17"/>
  </sortState>
  <tableColumns count="17">
    <tableColumn id="1" xr3:uid="{7289026B-289A-430D-B029-2F65277F5A00}" name="יישוב" dataDxfId="18" totalsRowDxfId="32"/>
    <tableColumn id="2" xr3:uid="{89AD43AA-5D77-4010-9990-CE707527FB3D}" name="מיקום_x000a_בסדר_x000a_ההגרלות" dataDxfId="17" totalsRowDxfId="31"/>
    <tableColumn id="3" xr3:uid="{A63B2213-9752-4537-A56B-923510FBEAF9}" name="סך_x000a_דירות_x000a_בהגרלה" dataDxfId="16" totalsRowDxfId="30"/>
    <tableColumn id="4" xr3:uid="{ADF7C65F-C431-48B0-8988-A357BF0ECA6B}" name="דירות_x000a_לכלל_x000a_הציבור" dataDxfId="15" totalsRowDxfId="29">
      <calculatedColumnFormula>טבלה1[[#This Row],[סך
דירות
בהגרלה]]*50%</calculatedColumnFormula>
    </tableColumn>
    <tableColumn id="5" xr3:uid="{753146F1-00E0-4E4D-A024-761A635E1C22}" name="דירות_x000a_לבני_x000a_מקום" dataDxfId="14" totalsRowDxfId="28">
      <calculatedColumnFormula>טבלה1[[#This Row],[סך
דירות
בהגרלה]]*27%</calculatedColumnFormula>
    </tableColumn>
    <tableColumn id="6" xr3:uid="{793847A6-0BBE-4F44-B398-9A63C25CD427}" name="מחיר לאחר הנחה ומענק" dataDxfId="9" totalsRowDxfId="27" dataCellStyle="Comma" totalsRowCellStyle="Comma"/>
    <tableColumn id="8" xr3:uid="{8B9599BE-64F9-4B61-9CD5-21E01298B74C}" name="הון עצמי נדרש" dataDxfId="8" totalsRowDxfId="26" dataCellStyle="Comma" totalsRowCellStyle="Comma">
      <calculatedColumnFormula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calculatedColumnFormula>
    </tableColumn>
    <tableColumn id="16" xr3:uid="{A366716C-769A-4EFF-B598-9C9874D0B22F}" name="החזר חודשי" dataDxfId="7" totalsRowDxfId="13" dataCellStyle="Comma" totalsRowCellStyle="Comma">
      <calculatedColumnFormula>(טבלה1[[#This Row],[מחיר לאחר הנחה ומענק]]-טבלה1[[#This Row],[הון עצמי נדרש]])/100000*530</calculatedColumnFormula>
    </tableColumn>
    <tableColumn id="9" xr3:uid="{73062261-CDA0-4C85-BB80-4E12D0B42311}" name="רווח_x000a_באחוזים_x000a_לעומת_x000a_מחיר_x000a_שוק" dataDxfId="6" dataCellStyle="Percent" totalsRowCellStyle="Percent">
      <calculatedColumnFormula>F4/VLOOKUP(A4,'מחירים שוק חופשי'!B:F,5,0)-1</calculatedColumnFormula>
    </tableColumn>
    <tableColumn id="10" xr3:uid="{C0D33A4A-B1A9-4620-A21B-CDB5AF920921}" name="רווח_x000a_לעומת_x000a_מחיר_x000a_שוק" dataDxfId="5" totalsRowDxfId="25">
      <calculatedColumnFormula>VLOOKUP(A4,'מחירים שוק חופשי'!B:F,5,0)-F4</calculatedColumnFormula>
    </tableColumn>
    <tableColumn id="15" xr3:uid="{3BE5CAAB-4EFB-42F3-992B-F568F7FCC97F}" name="מחיר לאחר ההנחה ומענק" dataDxfId="4" totalsRowDxfId="24" dataCellStyle="Comma" totalsRowCellStyle="Comma"/>
    <tableColumn id="14" xr3:uid="{B769BE86-15FA-4F22-96E9-EA2CF6DFE71F}" name="הון עצמי הנדרש" dataDxfId="3" totalsRowDxfId="23" dataCellStyle="Comma" totalsRowCellStyle="Comma">
      <calculatedColumnFormula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calculatedColumnFormula>
    </tableColumn>
    <tableColumn id="17" xr3:uid="{46F7BD13-5089-4115-A549-E60ECDD0CA51}" name="ההחזר חודשי" dataDxfId="2" totalsRowDxfId="12" dataCellStyle="Comma" totalsRowCellStyle="Comma">
      <calculatedColumnFormula>(טבלה1[[#This Row],[מחיר לאחר ההנחה ומענק]]-טבלה1[[#This Row],[הון עצמי הנדרש]])/100000*530</calculatedColumnFormula>
    </tableColumn>
    <tableColumn id="13" xr3:uid="{35DF3AA3-851B-4289-89CE-FAEDE57F0111}" name="רווח_x000a_באחוזים_x000a_לעומת_x000a_מחיר_x000a_השוק" dataDxfId="1" totalsRowDxfId="22" dataCellStyle="Percent" totalsRowCellStyle="Percent">
      <calculatedColumnFormula>K4/VLOOKUP(A4,'מחירים שוק חופשי'!B:G,6,0)-1</calculatedColumnFormula>
    </tableColumn>
    <tableColumn id="12" xr3:uid="{4CA75AD2-A15D-4D8F-B1B9-F18E7AA8D207}" name="רווח_x000a_לעומת_x000a_מחיר_x000a_השוק" dataDxfId="0" totalsRowDxfId="21" dataCellStyle="Comma" totalsRowCellStyle="Comma">
      <calculatedColumnFormula>VLOOKUP(A4,'מחירים שוק חופשי'!B:G,6,0)-K4</calculatedColumnFormula>
    </tableColumn>
    <tableColumn id="7" xr3:uid="{A5FECCDB-18D1-46CB-83B1-E8DE2C4AB587}" name="מענק" dataDxfId="11" totalsRowDxfId="20" dataCellStyle="Comma" totalsRowCellStyle="Comma"/>
    <tableColumn id="11" xr3:uid="{87541284-FEA1-40BC-BC45-D6B575FE4838}" name="סיכוי_x000a_זכייה לחיצוני_x000a_נכון_x000a_לעכשיו" dataDxfId="10" totalsRowDxfId="19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R17"/>
  <sheetViews>
    <sheetView rightToLeft="1" tabSelected="1" zoomScale="109" zoomScaleNormal="115" workbookViewId="0">
      <selection activeCell="K8" sqref="K8"/>
    </sheetView>
  </sheetViews>
  <sheetFormatPr defaultColWidth="8.69921875" defaultRowHeight="14.4" x14ac:dyDescent="0.3"/>
  <cols>
    <col min="1" max="2" width="8.3984375" style="4" bestFit="1" customWidth="1"/>
    <col min="3" max="3" width="7.59765625" style="4" bestFit="1" customWidth="1"/>
    <col min="4" max="4" width="7.19921875" style="4" bestFit="1" customWidth="1"/>
    <col min="5" max="5" width="6.296875" style="4" bestFit="1" customWidth="1"/>
    <col min="6" max="6" width="14.09765625" style="5" bestFit="1" customWidth="1"/>
    <col min="7" max="7" width="12.09765625" style="4" bestFit="1" customWidth="1"/>
    <col min="8" max="8" width="6.69921875" style="4" bestFit="1" customWidth="1"/>
    <col min="9" max="9" width="8" style="6" bestFit="1" customWidth="1"/>
    <col min="10" max="10" width="7" style="4" bestFit="1" customWidth="1"/>
    <col min="11" max="11" width="11.3984375" style="4" bestFit="1" customWidth="1"/>
    <col min="12" max="12" width="8.69921875" style="4" bestFit="1" customWidth="1"/>
    <col min="13" max="13" width="7.296875" style="4" bestFit="1" customWidth="1"/>
    <col min="14" max="14" width="8" style="4" bestFit="1" customWidth="1"/>
    <col min="15" max="15" width="7" style="4" bestFit="1" customWidth="1"/>
    <col min="16" max="16" width="6.19921875" style="4" bestFit="1" customWidth="1"/>
    <col min="17" max="17" width="8" style="116" bestFit="1" customWidth="1"/>
    <col min="18" max="18" width="17.3984375" style="7" customWidth="1"/>
    <col min="19" max="16384" width="8.69921875" style="4"/>
  </cols>
  <sheetData>
    <row r="1" spans="1:18" s="1" customFormat="1" ht="23.25" customHeight="1" thickBot="1" x14ac:dyDescent="0.4">
      <c r="A1" s="91">
        <v>1</v>
      </c>
      <c r="B1" s="90">
        <v>2</v>
      </c>
      <c r="C1" s="84">
        <v>3</v>
      </c>
      <c r="D1" s="85"/>
      <c r="E1" s="85"/>
      <c r="F1" s="91">
        <v>4</v>
      </c>
      <c r="G1" s="90">
        <v>5</v>
      </c>
      <c r="H1" s="79">
        <v>6</v>
      </c>
      <c r="I1" s="84">
        <v>7</v>
      </c>
      <c r="J1" s="94"/>
      <c r="K1" s="114">
        <v>4</v>
      </c>
      <c r="L1" s="79">
        <v>5</v>
      </c>
      <c r="M1" s="79">
        <v>6</v>
      </c>
      <c r="N1" s="84">
        <v>7</v>
      </c>
      <c r="O1" s="94"/>
      <c r="P1" s="83">
        <v>8</v>
      </c>
      <c r="Q1" s="120">
        <v>9</v>
      </c>
    </row>
    <row r="2" spans="1:18" s="9" customFormat="1" ht="30.75" customHeight="1" x14ac:dyDescent="0.35">
      <c r="A2" s="80"/>
      <c r="B2" s="92"/>
      <c r="C2" s="92"/>
      <c r="D2" s="92"/>
      <c r="E2" s="93"/>
      <c r="F2" s="86" t="s">
        <v>17</v>
      </c>
      <c r="G2" s="87"/>
      <c r="H2" s="87"/>
      <c r="I2" s="87"/>
      <c r="J2" s="88"/>
      <c r="K2" s="86" t="s">
        <v>18</v>
      </c>
      <c r="L2" s="87"/>
      <c r="M2" s="87"/>
      <c r="N2" s="87"/>
      <c r="O2" s="88"/>
      <c r="P2" s="82"/>
      <c r="Q2" s="81"/>
    </row>
    <row r="3" spans="1:18" s="12" customFormat="1" ht="75" customHeight="1" x14ac:dyDescent="0.3">
      <c r="A3" s="19" t="s">
        <v>7</v>
      </c>
      <c r="B3" s="11" t="s">
        <v>12</v>
      </c>
      <c r="C3" s="11" t="s">
        <v>63</v>
      </c>
      <c r="D3" s="11" t="s">
        <v>13</v>
      </c>
      <c r="E3" s="14" t="s">
        <v>14</v>
      </c>
      <c r="F3" s="115" t="s">
        <v>87</v>
      </c>
      <c r="G3" s="11" t="s">
        <v>8</v>
      </c>
      <c r="H3" s="11" t="s">
        <v>88</v>
      </c>
      <c r="I3" s="11" t="s">
        <v>11</v>
      </c>
      <c r="J3" s="20" t="s">
        <v>5</v>
      </c>
      <c r="K3" s="19" t="s">
        <v>89</v>
      </c>
      <c r="L3" s="11" t="s">
        <v>79</v>
      </c>
      <c r="M3" s="11" t="s">
        <v>90</v>
      </c>
      <c r="N3" s="11" t="s">
        <v>80</v>
      </c>
      <c r="O3" s="20" t="s">
        <v>78</v>
      </c>
      <c r="P3" s="15" t="s">
        <v>6</v>
      </c>
      <c r="Q3" s="117" t="s">
        <v>91</v>
      </c>
    </row>
    <row r="4" spans="1:18" x14ac:dyDescent="0.3">
      <c r="A4" s="23" t="s">
        <v>50</v>
      </c>
      <c r="B4" s="8">
        <v>1</v>
      </c>
      <c r="C4" s="8">
        <v>232</v>
      </c>
      <c r="D4" s="65">
        <f>טבלה1[[#This Row],[סך
דירות
בהגרלה]]*50%</f>
        <v>116</v>
      </c>
      <c r="E4" s="64">
        <f>טבלה1[[#This Row],[סך
דירות
בהגרלה]]*27%</f>
        <v>62.64</v>
      </c>
      <c r="F4" s="16">
        <v>1626845</v>
      </c>
      <c r="G4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276845</v>
      </c>
      <c r="H4" s="13">
        <f>(טבלה1[[#This Row],[מחיר לאחר הנחה ומענק]]-טבלה1[[#This Row],[הון עצמי נדרש]])/100000*530</f>
        <v>7155</v>
      </c>
      <c r="I4" s="10">
        <f>F4/VLOOKUP(A4,'מחירים שוק חופשי'!B:F,5,0)-1</f>
        <v>-0.25510760073260075</v>
      </c>
      <c r="J4" s="21">
        <f>VLOOKUP(A4,'מחירים שוק חופשי'!B:F,5,0)-F4</f>
        <v>557155</v>
      </c>
      <c r="K4" s="16">
        <v>2095878</v>
      </c>
      <c r="L4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523969.5</v>
      </c>
      <c r="M4" s="13">
        <f>(טבלה1[[#This Row],[מחיר לאחר ההנחה ומענק]]-טבלה1[[#This Row],[הון עצמי הנדרש]])/100000*530</f>
        <v>8331.1150500000003</v>
      </c>
      <c r="N4" s="10">
        <f>K4/VLOOKUP(A4,'מחירים שוק חופשי'!B:G,6,0)-1</f>
        <v>-0.23227912087912084</v>
      </c>
      <c r="O4" s="18">
        <f>VLOOKUP(A4,'מחירים שוק חופשי'!B:G,6,0)-K4</f>
        <v>634122</v>
      </c>
      <c r="P4" s="17" t="s">
        <v>1</v>
      </c>
      <c r="Q4" s="118">
        <v>6.0000000000000001E-3</v>
      </c>
      <c r="R4" s="4"/>
    </row>
    <row r="5" spans="1:18" x14ac:dyDescent="0.3">
      <c r="A5" s="23" t="s">
        <v>83</v>
      </c>
      <c r="B5" s="8">
        <v>2</v>
      </c>
      <c r="C5" s="8">
        <v>269</v>
      </c>
      <c r="D5" s="65">
        <f>טבלה1[[#This Row],[סך
דירות
בהגרלה]]*50%</f>
        <v>134.5</v>
      </c>
      <c r="E5" s="64">
        <f>טבלה1[[#This Row],[סך
דירות
בהגרלה]]*27%</f>
        <v>72.63000000000001</v>
      </c>
      <c r="F5" s="16">
        <v>1246000</v>
      </c>
      <c r="G5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5" s="13">
        <f>(טבלה1[[#This Row],[מחיר לאחר הנחה ומענק]]-טבלה1[[#This Row],[הון עצמי נדרש]])/100000*530</f>
        <v>6073.8</v>
      </c>
      <c r="I5" s="10">
        <f>F5/VLOOKUP(A5,'מחירים שוק חופשי'!B:F,5,0)-1</f>
        <v>-0.2920454545454545</v>
      </c>
      <c r="J5" s="21">
        <f>VLOOKUP(A5,'מחירים שוק חופשי'!B:F,5,0)-F5</f>
        <v>514000</v>
      </c>
      <c r="K5" s="89">
        <v>1610000</v>
      </c>
      <c r="L5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260000</v>
      </c>
      <c r="M5" s="13">
        <f>(טבלה1[[#This Row],[מחיר לאחר ההנחה ומענק]]-טבלה1[[#This Row],[הון עצמי הנדרש]])/100000*530</f>
        <v>7155</v>
      </c>
      <c r="N5" s="10">
        <f>K5/VLOOKUP(A5,'מחירים שוק חופשי'!B:G,6,0)-1</f>
        <v>-0.26818181818181819</v>
      </c>
      <c r="O5" s="18">
        <f>VLOOKUP(A5,'מחירים שוק חופשי'!B:G,6,0)-K5</f>
        <v>590000</v>
      </c>
      <c r="P5" s="17" t="s">
        <v>1</v>
      </c>
      <c r="Q5" s="118">
        <v>8.9999999999999993E-3</v>
      </c>
      <c r="R5" s="4"/>
    </row>
    <row r="6" spans="1:18" x14ac:dyDescent="0.3">
      <c r="A6" s="23" t="s">
        <v>25</v>
      </c>
      <c r="B6" s="8">
        <v>3</v>
      </c>
      <c r="C6" s="8">
        <v>205</v>
      </c>
      <c r="D6" s="65">
        <f>טבלה1[[#This Row],[סך
דירות
בהגרלה]]*50%</f>
        <v>102.5</v>
      </c>
      <c r="E6" s="64">
        <f>טבלה1[[#This Row],[סך
דירות
בהגרלה]]*27%</f>
        <v>55.35</v>
      </c>
      <c r="F6" s="16">
        <v>797600</v>
      </c>
      <c r="G6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6" s="13">
        <f>(טבלה1[[#This Row],[מחיר לאחר הנחה ומענק]]-טבלה1[[#This Row],[הון עצמי נדרש]])/100000*530</f>
        <v>3697.28</v>
      </c>
      <c r="I6" s="10">
        <f>F6/VLOOKUP(A6,'מחירים שוק חופשי'!B:F,5,0)-1</f>
        <v>-0.25597014925373129</v>
      </c>
      <c r="J6" s="21">
        <f>VLOOKUP(A6,'מחירים שוק חופשי'!B:F,5,0)-F6</f>
        <v>274400</v>
      </c>
      <c r="K6" s="16">
        <v>979000</v>
      </c>
      <c r="L6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6" s="13">
        <f>(טבלה1[[#This Row],[מחיר לאחר ההנחה ומענק]]-טבלה1[[#This Row],[הון עצמי הנדרש]])/100000*530</f>
        <v>4658.7</v>
      </c>
      <c r="N6" s="10">
        <f>K6/VLOOKUP(A6,'מחירים שוק חופשי'!B:G,6,0)-1</f>
        <v>-0.2694029850746269</v>
      </c>
      <c r="O6" s="18">
        <f>VLOOKUP(A6,'מחירים שוק חופשי'!B:G,6,0)-K6</f>
        <v>361000</v>
      </c>
      <c r="P6" s="17" t="s">
        <v>1</v>
      </c>
      <c r="Q6" s="118">
        <v>8.0000000000000002E-3</v>
      </c>
      <c r="R6" s="4"/>
    </row>
    <row r="7" spans="1:18" x14ac:dyDescent="0.3">
      <c r="A7" s="23" t="s">
        <v>59</v>
      </c>
      <c r="B7" s="8">
        <v>4</v>
      </c>
      <c r="C7" s="8">
        <v>237</v>
      </c>
      <c r="D7" s="65">
        <f>טבלה1[[#This Row],[סך
דירות
בהגרלה]]*50%</f>
        <v>118.5</v>
      </c>
      <c r="E7" s="64">
        <f>טבלה1[[#This Row],[סך
דירות
בהגרלה]]*27%</f>
        <v>63.99</v>
      </c>
      <c r="F7" s="16">
        <v>1300000</v>
      </c>
      <c r="G7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7" s="13">
        <f>(טבלה1[[#This Row],[מחיר לאחר הנחה ומענק]]-טבלה1[[#This Row],[הון עצמי נדרש]])/100000*530</f>
        <v>6360</v>
      </c>
      <c r="I7" s="10">
        <f>F7/VLOOKUP(A7,'מחירים שוק חופשי'!B:F,5,0)-1</f>
        <v>-0.30555555555555558</v>
      </c>
      <c r="J7" s="21">
        <f>VLOOKUP(A7,'מחירים שוק חופשי'!B:F,5,0)-F7</f>
        <v>572000</v>
      </c>
      <c r="K7" s="16">
        <v>1595000</v>
      </c>
      <c r="L7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245000</v>
      </c>
      <c r="M7" s="13">
        <f>(טבלה1[[#This Row],[מחיר לאחר ההנחה ומענק]]-טבלה1[[#This Row],[הון עצמי הנדרש]])/100000*530</f>
        <v>7155</v>
      </c>
      <c r="N7" s="10">
        <f>K7/VLOOKUP(A7,'מחירים שוק חופשי'!B:G,6,0)-1</f>
        <v>-0.31837606837606836</v>
      </c>
      <c r="O7" s="18">
        <f>VLOOKUP(A7,'מחירים שוק חופשי'!B:G,6,0)-K7</f>
        <v>745000</v>
      </c>
      <c r="P7" s="17" t="s">
        <v>1</v>
      </c>
      <c r="Q7" s="118">
        <v>8.0000000000000002E-3</v>
      </c>
      <c r="R7" s="4"/>
    </row>
    <row r="8" spans="1:18" x14ac:dyDescent="0.3">
      <c r="A8" s="23" t="s">
        <v>48</v>
      </c>
      <c r="B8" s="8">
        <v>5</v>
      </c>
      <c r="C8" s="8">
        <v>719</v>
      </c>
      <c r="D8" s="65">
        <f>טבלה1[[#This Row],[סך
דירות
בהגרלה]]*50%</f>
        <v>359.5</v>
      </c>
      <c r="E8" s="64">
        <f>טבלה1[[#This Row],[סך
דירות
בהגרלה]]*27%</f>
        <v>194.13000000000002</v>
      </c>
      <c r="F8" s="16">
        <v>855000</v>
      </c>
      <c r="G8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8" s="13">
        <f>(טבלה1[[#This Row],[מחיר לאחר הנחה ומענק]]-טבלה1[[#This Row],[הון עצמי נדרש]])/100000*530</f>
        <v>4001.5</v>
      </c>
      <c r="I8" s="10">
        <f>F8/VLOOKUP(A8,'מחירים שוק חופשי'!B:F,5,0)-1</f>
        <v>-0.39275568181818177</v>
      </c>
      <c r="J8" s="21">
        <f>VLOOKUP(A8,'מחירים שוק חופשי'!B:F,5,0)-F8</f>
        <v>553000</v>
      </c>
      <c r="K8" s="16">
        <v>1150000</v>
      </c>
      <c r="L8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8" s="13">
        <f>(טבלה1[[#This Row],[מחיר לאחר ההנחה ומענק]]-טבלה1[[#This Row],[הון עצמי הנדרש]])/100000*530</f>
        <v>5565</v>
      </c>
      <c r="N8" s="10">
        <f>K8/VLOOKUP(A8,'מחירים שוק חופשי'!B:G,6,0)-1</f>
        <v>-0.34659090909090906</v>
      </c>
      <c r="O8" s="18">
        <f>VLOOKUP(A8,'מחירים שוק חופשי'!B:G,6,0)-K8</f>
        <v>610000</v>
      </c>
      <c r="P8" s="17" t="s">
        <v>1</v>
      </c>
      <c r="Q8" s="118">
        <v>1.6E-2</v>
      </c>
      <c r="R8" s="4"/>
    </row>
    <row r="9" spans="1:18" x14ac:dyDescent="0.3">
      <c r="A9" s="23" t="s">
        <v>2</v>
      </c>
      <c r="B9" s="8">
        <v>6</v>
      </c>
      <c r="C9" s="8">
        <v>34</v>
      </c>
      <c r="D9" s="65">
        <f>טבלה1[[#This Row],[סך
דירות
בהגרלה]]*50%</f>
        <v>17</v>
      </c>
      <c r="E9" s="64">
        <f>טבלה1[[#This Row],[סך
דירות
בהגרלה]]*27%</f>
        <v>9.18</v>
      </c>
      <c r="F9" s="16">
        <v>1449342</v>
      </c>
      <c r="G9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9" s="13">
        <f>(טבלה1[[#This Row],[מחיר לאחר הנחה ומענק]]-טבלה1[[#This Row],[הון עצמי נדרש]])/100000*530</f>
        <v>7151.5126</v>
      </c>
      <c r="I9" s="10">
        <f>F9/VLOOKUP(A9,'מחירים שוק חופשי'!B:F,5,0)-1</f>
        <v>-0.28674114173228349</v>
      </c>
      <c r="J9" s="21">
        <f>VLOOKUP(A9,'מחירים שוק חופשי'!B:F,5,0)-F9</f>
        <v>582658</v>
      </c>
      <c r="K9" s="16">
        <v>1887641</v>
      </c>
      <c r="L9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471910.25</v>
      </c>
      <c r="M9" s="13">
        <f>(טבלה1[[#This Row],[מחיר לאחר ההנחה ומענק]]-טבלה1[[#This Row],[הון עצמי הנדרש]])/100000*530</f>
        <v>7503.3729750000002</v>
      </c>
      <c r="N9" s="10">
        <f>K9/VLOOKUP(A9,'מחירים שוק חופשי'!B:G,6,0)-1</f>
        <v>-0.25683425196850396</v>
      </c>
      <c r="O9" s="18">
        <f>VLOOKUP(A9,'מחירים שוק חופשי'!B:G,6,0)-K9</f>
        <v>652359</v>
      </c>
      <c r="P9" s="17" t="s">
        <v>1</v>
      </c>
      <c r="Q9" s="119">
        <v>8.9999999999999998E-4</v>
      </c>
      <c r="R9" s="4"/>
    </row>
    <row r="10" spans="1:18" x14ac:dyDescent="0.3">
      <c r="A10" s="23" t="s">
        <v>84</v>
      </c>
      <c r="B10" s="8">
        <v>7</v>
      </c>
      <c r="C10" s="8">
        <v>148</v>
      </c>
      <c r="D10" s="65">
        <f>טבלה1[[#This Row],[סך
דירות
בהגרלה]]*50%</f>
        <v>74</v>
      </c>
      <c r="E10" s="64">
        <f>טבלה1[[#This Row],[סך
דירות
בהגרלה]]*27%</f>
        <v>39.96</v>
      </c>
      <c r="F10" s="16">
        <v>596600</v>
      </c>
      <c r="G10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0" s="13">
        <f>(טבלה1[[#This Row],[מחיר לאחר הנחה ומענק]]-טבלה1[[#This Row],[הון עצמי נדרש]])/100000*530</f>
        <v>2843.98</v>
      </c>
      <c r="I10" s="10">
        <f>F10/VLOOKUP(A10,'מחירים שוק חופשי'!B:F,5,0)-1</f>
        <v>-0.42189922480620157</v>
      </c>
      <c r="J10" s="21">
        <f>VLOOKUP(A10,'מחירים שוק חופשי'!B:F,5,0)-F10</f>
        <v>435400</v>
      </c>
      <c r="K10" s="16">
        <v>741000</v>
      </c>
      <c r="L10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0" s="13">
        <f>(טבלה1[[#This Row],[מחיר לאחר ההנחה ומענק]]-טבלה1[[#This Row],[הון עצמי הנדרש]])/100000*530</f>
        <v>3609.2999999999997</v>
      </c>
      <c r="N10" s="10">
        <f>K10/VLOOKUP(A10,'מחירים שוק חופשי'!B:G,6,0)-1</f>
        <v>-0.42558139534883721</v>
      </c>
      <c r="O10" s="18">
        <f>VLOOKUP(A10,'מחירים שוק חופשי'!B:G,6,0)-K10</f>
        <v>549000</v>
      </c>
      <c r="P10" s="17" t="s">
        <v>92</v>
      </c>
      <c r="Q10" s="118">
        <v>7.2999999999999995E-2</v>
      </c>
      <c r="R10" s="4"/>
    </row>
    <row r="11" spans="1:18" x14ac:dyDescent="0.3">
      <c r="A11" s="23" t="s">
        <v>81</v>
      </c>
      <c r="B11" s="8">
        <v>8</v>
      </c>
      <c r="C11" s="8">
        <v>444</v>
      </c>
      <c r="D11" s="65">
        <f>טבלה1[[#This Row],[סך
דירות
בהגרלה]]*50%</f>
        <v>222</v>
      </c>
      <c r="E11" s="64">
        <f>טבלה1[[#This Row],[סך
דירות
בהגרלה]]*27%</f>
        <v>119.88000000000001</v>
      </c>
      <c r="F11" s="16">
        <v>878486</v>
      </c>
      <c r="G11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11" s="13">
        <f>(טבלה1[[#This Row],[מחיר לאחר הנחה ומענק]]-טבלה1[[#This Row],[הון עצמי נדרש]])/100000*530</f>
        <v>4125.9758000000002</v>
      </c>
      <c r="I11" s="10">
        <f>F11/VLOOKUP(A11,'מחירים שוק חופשי'!B:F,5,0)-1</f>
        <v>-0.23742534722222219</v>
      </c>
      <c r="J11" s="21">
        <f>VLOOKUP(A11,'מחירים שוק חופשי'!B:F,5,0)-F11</f>
        <v>273514</v>
      </c>
      <c r="K11" s="16">
        <v>1078142</v>
      </c>
      <c r="L11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1" s="13">
        <f>(טבלה1[[#This Row],[מחיר לאחר ההנחה ומענק]]-טבלה1[[#This Row],[הון עצמי הנדרש]])/100000*530</f>
        <v>5184.1526000000003</v>
      </c>
      <c r="N11" s="10">
        <f>K11/VLOOKUP(A11,'מחירים שוק חופשי'!B:G,6,0)-1</f>
        <v>-0.25129027777777779</v>
      </c>
      <c r="O11" s="18">
        <f>VLOOKUP(A11,'מחירים שוק חופשי'!B:G,6,0)-K11</f>
        <v>361858</v>
      </c>
      <c r="P11" s="17" t="s">
        <v>1</v>
      </c>
      <c r="Q11" s="118">
        <v>3.7999999999999999E-2</v>
      </c>
      <c r="R11" s="4"/>
    </row>
    <row r="12" spans="1:18" x14ac:dyDescent="0.3">
      <c r="A12" s="23" t="s">
        <v>19</v>
      </c>
      <c r="B12" s="8">
        <v>9</v>
      </c>
      <c r="C12" s="8">
        <v>123</v>
      </c>
      <c r="D12" s="65">
        <f>טבלה1[[#This Row],[סך
דירות
בהגרלה]]*50%</f>
        <v>61.5</v>
      </c>
      <c r="E12" s="64">
        <f>טבלה1[[#This Row],[סך
דירות
בהגרלה]]*27%</f>
        <v>33.21</v>
      </c>
      <c r="F12" s="16">
        <v>469413</v>
      </c>
      <c r="G12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2" s="13">
        <f>(טבלה1[[#This Row],[מחיר לאחר הנחה ומענק]]-טבלה1[[#This Row],[הון עצמי נדרש]])/100000*530</f>
        <v>2169.8888999999999</v>
      </c>
      <c r="I12" s="10">
        <f>F12/VLOOKUP(A12,'מחירים שוק חופשי'!B:F,5,0)-1</f>
        <v>-0.3950863402061856</v>
      </c>
      <c r="J12" s="21">
        <f>VLOOKUP(A12,'מחירים שוק חופשי'!B:F,5,0)-F12</f>
        <v>306587</v>
      </c>
      <c r="K12" s="16">
        <v>585189</v>
      </c>
      <c r="L12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2" s="13">
        <f>(טבלה1[[#This Row],[מחיר לאחר ההנחה ומענק]]-טבלה1[[#This Row],[הון עצמי הנדרש]])/100000*530</f>
        <v>2783.5017000000003</v>
      </c>
      <c r="N12" s="10">
        <f>K12/VLOOKUP(A12,'מחירים שוק חופשי'!B:G,6,0)-1</f>
        <v>-0.39671237113402058</v>
      </c>
      <c r="O12" s="18">
        <f>VLOOKUP(A12,'מחירים שוק חופשי'!B:G,6,0)-K12</f>
        <v>384811</v>
      </c>
      <c r="P12" s="17" t="s">
        <v>92</v>
      </c>
      <c r="Q12" s="118">
        <v>1.9E-2</v>
      </c>
      <c r="R12" s="4"/>
    </row>
    <row r="13" spans="1:18" x14ac:dyDescent="0.3">
      <c r="A13" s="23" t="s">
        <v>54</v>
      </c>
      <c r="B13" s="8">
        <v>10</v>
      </c>
      <c r="C13" s="8">
        <v>48</v>
      </c>
      <c r="D13" s="65">
        <f>טבלה1[[#This Row],[סך
דירות
בהגרלה]]*50%</f>
        <v>24</v>
      </c>
      <c r="E13" s="64">
        <f>טבלה1[[#This Row],[סך
דירות
בהגרלה]]*27%</f>
        <v>12.96</v>
      </c>
      <c r="F13" s="16">
        <v>619072</v>
      </c>
      <c r="G13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3" s="13">
        <f>(טבלה1[[#This Row],[מחיר לאחר הנחה ומענק]]-טבלה1[[#This Row],[הון עצמי נדרש]])/100000*530</f>
        <v>2963.0816</v>
      </c>
      <c r="I13" s="10">
        <f>F13/VLOOKUP(A13,'מחירים שוק חופשי'!B:F,5,0)-1</f>
        <v>-0.51022784810126587</v>
      </c>
      <c r="J13" s="21">
        <f>VLOOKUP(A13,'מחירים שוק חופשי'!B:F,5,0)-F13</f>
        <v>644928</v>
      </c>
      <c r="K13" s="16">
        <v>768862</v>
      </c>
      <c r="L13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3" s="13">
        <f>(טבלה1[[#This Row],[מחיר לאחר ההנחה ומענק]]-טבלה1[[#This Row],[הון עצמי הנדרש]])/100000*530</f>
        <v>3756.9685999999997</v>
      </c>
      <c r="N13" s="10">
        <f>K13/VLOOKUP(A13,'מחירים שוק חופשי'!B:G,6,0)-1</f>
        <v>-0.51337848101265826</v>
      </c>
      <c r="O13" s="18">
        <f>VLOOKUP(A13,'מחירים שוק חופשי'!B:G,6,0)-K13</f>
        <v>811138</v>
      </c>
      <c r="P13" s="17" t="s">
        <v>92</v>
      </c>
      <c r="Q13" s="118">
        <v>5.0000000000000001E-3</v>
      </c>
      <c r="R13" s="4"/>
    </row>
    <row r="14" spans="1:18" x14ac:dyDescent="0.3">
      <c r="A14" s="23" t="s">
        <v>82</v>
      </c>
      <c r="B14" s="8">
        <v>11</v>
      </c>
      <c r="C14" s="8">
        <v>417</v>
      </c>
      <c r="D14" s="65">
        <f>טבלה1[[#This Row],[סך
דירות
בהגרלה]]*50%</f>
        <v>208.5</v>
      </c>
      <c r="E14" s="64">
        <f>טבלה1[[#This Row],[סך
דירות
בהגרלה]]*27%</f>
        <v>112.59</v>
      </c>
      <c r="F14" s="16">
        <v>539000</v>
      </c>
      <c r="G14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4" s="13">
        <f>(טבלה1[[#This Row],[מחיר לאחר הנחה ומענק]]-טבלה1[[#This Row],[הון עצמי נדרש]])/100000*530</f>
        <v>2538.6999999999998</v>
      </c>
      <c r="I14" s="10">
        <f>F14/VLOOKUP(A14,'מחירים שוק חופשי'!B:F,5,0)-1</f>
        <v>-0.50459558823529416</v>
      </c>
      <c r="J14" s="21">
        <f>VLOOKUP(A14,'מחירים שוק חופשי'!B:F,5,0)-F14</f>
        <v>549000</v>
      </c>
      <c r="K14" s="89">
        <v>674500</v>
      </c>
      <c r="L14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4" s="13">
        <f>(טבלה1[[#This Row],[מחיר לאחר ההנחה ומענק]]-טבלה1[[#This Row],[הון עצמי הנדרש]])/100000*530</f>
        <v>3256.85</v>
      </c>
      <c r="N14" s="10">
        <f>K14/VLOOKUP(A14,'מחירים שוק חופשי'!B:G,6,0)-1</f>
        <v>-0.50404411764705881</v>
      </c>
      <c r="O14" s="18">
        <f>VLOOKUP(A14,'מחירים שוק חופשי'!B:G,6,0)-K14</f>
        <v>685500</v>
      </c>
      <c r="P14" s="17" t="s">
        <v>92</v>
      </c>
      <c r="Q14" s="118">
        <v>1.4999999999999999E-2</v>
      </c>
      <c r="R14" s="4"/>
    </row>
    <row r="15" spans="1:18" x14ac:dyDescent="0.3">
      <c r="A15" s="23" t="s">
        <v>85</v>
      </c>
      <c r="B15" s="8">
        <v>12</v>
      </c>
      <c r="C15" s="8">
        <v>19</v>
      </c>
      <c r="D15" s="65">
        <f>טבלה1[[#This Row],[סך
דירות
בהגרלה]]*50%</f>
        <v>9.5</v>
      </c>
      <c r="E15" s="64">
        <f>טבלה1[[#This Row],[סך
דירות
בהגרלה]]*27%</f>
        <v>5.1300000000000008</v>
      </c>
      <c r="F15" s="16">
        <v>564115</v>
      </c>
      <c r="G15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60000</v>
      </c>
      <c r="H15" s="13">
        <f>(טבלה1[[#This Row],[מחיר לאחר הנחה ומענק]]-טבלה1[[#This Row],[הון עצמי נדרש]])/100000*530</f>
        <v>2671.8094999999998</v>
      </c>
      <c r="I15" s="10">
        <f>F15/VLOOKUP(A15,'מחירים שוק חופשי'!B:F,5,0)-1</f>
        <v>-0.46580018939393941</v>
      </c>
      <c r="J15" s="21">
        <f>VLOOKUP(A15,'מחירים שוק חופשי'!B:F,5,0)-F15</f>
        <v>491885</v>
      </c>
      <c r="K15" s="16">
        <v>717748</v>
      </c>
      <c r="L15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60000</v>
      </c>
      <c r="M15" s="13">
        <f>(טבלה1[[#This Row],[מחיר לאחר ההנחה ומענק]]-טבלה1[[#This Row],[הון עצמי הנדרש]])/100000*530</f>
        <v>3486.0644000000002</v>
      </c>
      <c r="N15" s="10">
        <f>K15/VLOOKUP(A15,'מחירים שוק חופשי'!B:G,6,0)-1</f>
        <v>-0.45625151515151519</v>
      </c>
      <c r="O15" s="18">
        <f>VLOOKUP(A15,'מחירים שוק חופשי'!B:G,6,0)-K15</f>
        <v>602252</v>
      </c>
      <c r="P15" s="17" t="s">
        <v>92</v>
      </c>
      <c r="Q15" s="118">
        <v>1E-3</v>
      </c>
    </row>
    <row r="16" spans="1:18" x14ac:dyDescent="0.3">
      <c r="A16" s="23" t="s">
        <v>61</v>
      </c>
      <c r="B16" s="8">
        <v>13</v>
      </c>
      <c r="C16" s="8">
        <v>166</v>
      </c>
      <c r="D16" s="65">
        <f>טבלה1[[#This Row],[סך
דירות
בהגרלה]]*50%</f>
        <v>83</v>
      </c>
      <c r="E16" s="64">
        <f>טבלה1[[#This Row],[סך
דירות
בהגרלה]]*27%</f>
        <v>44.82</v>
      </c>
      <c r="F16" s="16">
        <v>2032564</v>
      </c>
      <c r="G16" s="13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508141</v>
      </c>
      <c r="H16" s="13">
        <f>(טבלה1[[#This Row],[מחיר לאחר הנחה ומענק]]-טבלה1[[#This Row],[הון עצמי נדרש]])/100000*530</f>
        <v>8079.4418999999998</v>
      </c>
      <c r="I16" s="10">
        <f>F16/VLOOKUP(A16,'מחירים שוק חופשי'!B:F,5,0)-1</f>
        <v>-1.5230620155038732E-2</v>
      </c>
      <c r="J16" s="21">
        <f>VLOOKUP(A16,'מחירים שוק חופשי'!B:F,5,0)-F16</f>
        <v>31436</v>
      </c>
      <c r="K16" s="16">
        <v>2494511</v>
      </c>
      <c r="L16" s="13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623627.75</v>
      </c>
      <c r="M16" s="13">
        <f>(טבלה1[[#This Row],[מחיר לאחר ההנחה ומענק]]-טבלה1[[#This Row],[הון עצמי הנדרש]])/100000*530</f>
        <v>9915.6812250000003</v>
      </c>
      <c r="N16" s="10">
        <f>K16/VLOOKUP(A16,'מחירים שוק חופשי'!B:G,6,0)-1</f>
        <v>-3.3135271317829451E-2</v>
      </c>
      <c r="O16" s="18">
        <f>VLOOKUP(A16,'מחירים שוק חופשי'!B:G,6,0)-K16</f>
        <v>85489</v>
      </c>
      <c r="P16" s="17" t="s">
        <v>1</v>
      </c>
      <c r="Q16" s="118">
        <v>4.0000000000000001E-3</v>
      </c>
    </row>
    <row r="17" spans="1:17" ht="15" thickBot="1" x14ac:dyDescent="0.35">
      <c r="A17" s="66" t="s">
        <v>20</v>
      </c>
      <c r="B17" s="67">
        <v>14</v>
      </c>
      <c r="C17" s="67">
        <v>182</v>
      </c>
      <c r="D17" s="68">
        <f>טבלה1[[#This Row],[סך
דירות
בהגרלה]]*50%</f>
        <v>91</v>
      </c>
      <c r="E17" s="69">
        <f>טבלה1[[#This Row],[סך
דירות
בהגרלה]]*27%</f>
        <v>49.14</v>
      </c>
      <c r="F17" s="70">
        <v>719600</v>
      </c>
      <c r="G17" s="71">
        <f>IF(טבלה1[[#This Row],[מחיר לאחר הנחה ומענק]]="","",IF(טבלה1[[#This Row],[מחיר לאחר הנחה ומענק]]&gt;1800000,טבלה1[[#This Row],[מחיר לאחר הנחה ומענק]]*25%,IF(טבלה1[[#This Row],[מחיר לאחר הנחה ומענק]]&gt;1450000,טבלה1[[#This Row],[מחיר לאחר הנחה ומענק]]-1350000,IF(טבלה1[[#This Row],[מחיר לאחר הנחה ומענק]]&gt;1000000,100000,IF(טבלה1[[#This Row],[מחיר לאחר הנחה ומענק]]&lt;1000000,100000)))))-IF(טבלה1[[#This Row],[מענק]]="V",40000,0)</f>
        <v>100000</v>
      </c>
      <c r="H17" s="71">
        <f>(טבלה1[[#This Row],[מחיר לאחר הנחה ומענק]]-טבלה1[[#This Row],[הון עצמי נדרש]])/100000*530</f>
        <v>3283.8799999999997</v>
      </c>
      <c r="I17" s="72">
        <f>F17/VLOOKUP(A17,'מחירים שוק חופשי'!B:F,5,0)-1</f>
        <v>-0.17477064220183491</v>
      </c>
      <c r="J17" s="73">
        <f>VLOOKUP(A17,'מחירים שוק חופשי'!B:F,5,0)-F17</f>
        <v>152400</v>
      </c>
      <c r="K17" s="70">
        <v>895000</v>
      </c>
      <c r="L17" s="71">
        <f>IF(טבלה1[[#This Row],[מחיר לאחר ההנחה ומענק]]="","",IF(טבלה1[[#This Row],[מחיר לאחר ההנחה ומענק]]&gt;1800000,טבלה1[[#This Row],[מחיר לאחר ההנחה ומענק]]*25%,IF(טבלה1[[#This Row],[מחיר לאחר ההנחה ומענק]]&gt;1450000,טבלה1[[#This Row],[מחיר לאחר ההנחה ומענק]]-1350000,IF(טבלה1[[#This Row],[מחיר לאחר ההנחה ומענק]]&gt;1000000,100000,IF(טבלה1[[#This Row],[מחיר לאחר ההנחה ומענק]]&lt;1000000,100000)))))-IF(טבלה1[[#This Row],[מענק]]="V",40000,0)</f>
        <v>100000</v>
      </c>
      <c r="M17" s="71">
        <f>(טבלה1[[#This Row],[מחיר לאחר ההנחה ומענק]]-טבלה1[[#This Row],[הון עצמי הנדרש]])/100000*530</f>
        <v>4213.5</v>
      </c>
      <c r="N17" s="72">
        <f>K17/VLOOKUP(A17,'מחירים שוק חופשי'!B:G,6,0)-1</f>
        <v>-0.17889908256880738</v>
      </c>
      <c r="O17" s="74">
        <f>VLOOKUP(A17,'מחירים שוק חופשי'!B:G,6,0)-K17</f>
        <v>195000</v>
      </c>
      <c r="P17" s="75" t="s">
        <v>1</v>
      </c>
      <c r="Q17" s="121">
        <v>1.4999999999999999E-2</v>
      </c>
    </row>
  </sheetData>
  <sheetProtection sort="0" autoFilter="0"/>
  <mergeCells count="7">
    <mergeCell ref="C1:E1"/>
    <mergeCell ref="F2:J2"/>
    <mergeCell ref="K2:O2"/>
    <mergeCell ref="A2:E2"/>
    <mergeCell ref="P2:Q2"/>
    <mergeCell ref="I1:J1"/>
    <mergeCell ref="N1:O1"/>
  </mergeCells>
  <phoneticPr fontId="16" type="noConversion"/>
  <pageMargins left="0.7" right="0.7" top="0.75" bottom="0.75" header="0.3" footer="0.3"/>
  <pageSetup paperSize="9" orientation="landscape" r:id="rId1"/>
  <ignoredErrors>
    <ignoredError sqref="G4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52" t="s">
        <v>31</v>
      </c>
      <c r="B1" s="51" t="s">
        <v>30</v>
      </c>
      <c r="D1" s="76"/>
      <c r="E1" s="78"/>
      <c r="F1" s="77"/>
      <c r="G1" s="50"/>
      <c r="H1" s="76">
        <v>3</v>
      </c>
      <c r="I1" s="77"/>
      <c r="J1" s="50"/>
      <c r="K1" s="76">
        <v>4</v>
      </c>
      <c r="L1" s="77"/>
    </row>
    <row r="2" spans="1:12" x14ac:dyDescent="0.25">
      <c r="A2" s="49">
        <f>(I2+I3)/D2</f>
        <v>550733</v>
      </c>
      <c r="B2" s="48">
        <f>(L2+L3)/D2</f>
        <v>675899.5</v>
      </c>
      <c r="D2" s="44">
        <v>72</v>
      </c>
      <c r="E2" s="45" t="s">
        <v>26</v>
      </c>
      <c r="F2" s="42">
        <v>36</v>
      </c>
      <c r="H2" s="44">
        <v>535392</v>
      </c>
      <c r="I2" s="42">
        <f t="shared" ref="I2:I27" si="0">H2*F2</f>
        <v>19274112</v>
      </c>
      <c r="K2" s="44">
        <v>657072</v>
      </c>
      <c r="L2" s="42">
        <f t="shared" ref="L2:L27" si="1">K2*F2</f>
        <v>23654592</v>
      </c>
    </row>
    <row r="3" spans="1:12" ht="14.4" thickBot="1" x14ac:dyDescent="0.3">
      <c r="A3" s="29"/>
      <c r="B3" s="28"/>
      <c r="D3" s="26"/>
      <c r="E3" s="27"/>
      <c r="F3" s="24">
        <v>36</v>
      </c>
      <c r="H3" s="26">
        <v>566074</v>
      </c>
      <c r="I3" s="24">
        <f t="shared" si="0"/>
        <v>20378664</v>
      </c>
      <c r="K3" s="26">
        <v>694727</v>
      </c>
      <c r="L3" s="24">
        <f t="shared" si="1"/>
        <v>25010172</v>
      </c>
    </row>
    <row r="4" spans="1:12" x14ac:dyDescent="0.25">
      <c r="A4" s="47">
        <f>(I4+I5+I6)/D4</f>
        <v>1543792.9115646258</v>
      </c>
      <c r="B4" s="46">
        <f>(L4+L5+L6)/D4</f>
        <v>1916527.3224489796</v>
      </c>
      <c r="D4" s="44">
        <v>735</v>
      </c>
      <c r="E4" s="45" t="s">
        <v>4</v>
      </c>
      <c r="F4" s="42">
        <v>368</v>
      </c>
      <c r="H4" s="44">
        <v>1560977</v>
      </c>
      <c r="I4" s="42">
        <f t="shared" si="0"/>
        <v>574439536</v>
      </c>
      <c r="K4" s="44">
        <v>1915744</v>
      </c>
      <c r="L4" s="42">
        <f t="shared" si="1"/>
        <v>704993792</v>
      </c>
    </row>
    <row r="5" spans="1:12" x14ac:dyDescent="0.25">
      <c r="A5" s="35"/>
      <c r="B5" s="34"/>
      <c r="D5" s="32"/>
      <c r="E5" s="33"/>
      <c r="F5" s="30">
        <v>179</v>
      </c>
      <c r="H5" s="32">
        <v>1526562</v>
      </c>
      <c r="I5" s="30">
        <f t="shared" si="0"/>
        <v>273254598</v>
      </c>
      <c r="K5" s="32">
        <v>1894010</v>
      </c>
      <c r="L5" s="30">
        <f t="shared" si="1"/>
        <v>339027790</v>
      </c>
    </row>
    <row r="6" spans="1:12" ht="14.4" thickBot="1" x14ac:dyDescent="0.3">
      <c r="A6" s="29"/>
      <c r="B6" s="28"/>
      <c r="D6" s="26"/>
      <c r="E6" s="27"/>
      <c r="F6" s="24">
        <v>188</v>
      </c>
      <c r="H6" s="26">
        <v>1526562</v>
      </c>
      <c r="I6" s="24">
        <f t="shared" si="0"/>
        <v>286993656</v>
      </c>
      <c r="K6" s="26">
        <v>1939500</v>
      </c>
      <c r="L6" s="24">
        <f t="shared" si="1"/>
        <v>364626000</v>
      </c>
    </row>
    <row r="7" spans="1:12" x14ac:dyDescent="0.25">
      <c r="A7" s="53">
        <f>(I7+I8+I9)/D7</f>
        <v>588508.89552238805</v>
      </c>
      <c r="B7" s="46">
        <f>(L7+L8+L9)/D7</f>
        <v>722260.85074626864</v>
      </c>
      <c r="D7" s="44">
        <v>67</v>
      </c>
      <c r="E7" s="45" t="s">
        <v>27</v>
      </c>
      <c r="F7" s="42">
        <v>29</v>
      </c>
      <c r="H7" s="44">
        <v>564736</v>
      </c>
      <c r="I7" s="42">
        <f t="shared" si="0"/>
        <v>16377344</v>
      </c>
      <c r="K7" s="44">
        <v>693085</v>
      </c>
      <c r="L7" s="43">
        <f t="shared" si="1"/>
        <v>20099465</v>
      </c>
    </row>
    <row r="8" spans="1:12" x14ac:dyDescent="0.25">
      <c r="A8" s="35"/>
      <c r="B8" s="34"/>
      <c r="D8" s="32"/>
      <c r="E8" s="33"/>
      <c r="F8" s="30">
        <v>20</v>
      </c>
      <c r="H8" s="32">
        <v>605920</v>
      </c>
      <c r="I8" s="30">
        <f t="shared" si="0"/>
        <v>12118400</v>
      </c>
      <c r="K8" s="32">
        <v>743629</v>
      </c>
      <c r="L8" s="31">
        <f t="shared" si="1"/>
        <v>14872580</v>
      </c>
    </row>
    <row r="9" spans="1:12" ht="14.4" thickBot="1" x14ac:dyDescent="0.3">
      <c r="A9" s="29"/>
      <c r="B9" s="28"/>
      <c r="D9" s="26"/>
      <c r="E9" s="27"/>
      <c r="F9" s="24">
        <v>18</v>
      </c>
      <c r="H9" s="26">
        <v>607464</v>
      </c>
      <c r="I9" s="24">
        <f t="shared" si="0"/>
        <v>10934352</v>
      </c>
      <c r="K9" s="26">
        <v>745524</v>
      </c>
      <c r="L9" s="25">
        <f t="shared" si="1"/>
        <v>13419432</v>
      </c>
    </row>
    <row r="10" spans="1:12" x14ac:dyDescent="0.25">
      <c r="A10" s="47">
        <f>(I10+I11+I12+I13+I14)/D10</f>
        <v>740246.88203753356</v>
      </c>
      <c r="B10" s="46">
        <f>(L10+L11+L12+L13+L14)/D10</f>
        <v>908484.97587131371</v>
      </c>
      <c r="D10" s="44">
        <v>373</v>
      </c>
      <c r="E10" s="45" t="s">
        <v>20</v>
      </c>
      <c r="F10" s="42">
        <v>83</v>
      </c>
      <c r="H10" s="44">
        <v>712277</v>
      </c>
      <c r="I10" s="42">
        <f t="shared" si="0"/>
        <v>59118991</v>
      </c>
      <c r="K10" s="43">
        <v>874158</v>
      </c>
      <c r="L10" s="42">
        <f t="shared" si="1"/>
        <v>72555114</v>
      </c>
    </row>
    <row r="11" spans="1:12" x14ac:dyDescent="0.25">
      <c r="A11" s="35"/>
      <c r="B11" s="34"/>
      <c r="D11" s="32"/>
      <c r="E11" s="33"/>
      <c r="F11" s="30">
        <v>103</v>
      </c>
      <c r="H11" s="32">
        <v>749034</v>
      </c>
      <c r="I11" s="30">
        <f t="shared" si="0"/>
        <v>77150502</v>
      </c>
      <c r="K11" s="31">
        <v>919269</v>
      </c>
      <c r="L11" s="30">
        <f t="shared" si="1"/>
        <v>94684707</v>
      </c>
    </row>
    <row r="12" spans="1:12" x14ac:dyDescent="0.25">
      <c r="A12" s="35"/>
      <c r="B12" s="34"/>
      <c r="D12" s="32"/>
      <c r="E12" s="33"/>
      <c r="F12" s="30">
        <v>56</v>
      </c>
      <c r="H12" s="32">
        <v>747876</v>
      </c>
      <c r="I12" s="30">
        <f t="shared" si="0"/>
        <v>41881056</v>
      </c>
      <c r="K12" s="31">
        <v>917847</v>
      </c>
      <c r="L12" s="30">
        <f t="shared" si="1"/>
        <v>51399432</v>
      </c>
    </row>
    <row r="13" spans="1:12" x14ac:dyDescent="0.25">
      <c r="A13" s="35"/>
      <c r="B13" s="34"/>
      <c r="D13" s="32"/>
      <c r="E13" s="33"/>
      <c r="F13" s="30">
        <v>66</v>
      </c>
      <c r="H13" s="32">
        <v>747798</v>
      </c>
      <c r="I13" s="30">
        <f t="shared" si="0"/>
        <v>49354668</v>
      </c>
      <c r="K13" s="31">
        <v>917753</v>
      </c>
      <c r="L13" s="30">
        <f t="shared" si="1"/>
        <v>60571698</v>
      </c>
    </row>
    <row r="14" spans="1:12" ht="14.4" thickBot="1" x14ac:dyDescent="0.3">
      <c r="A14" s="29"/>
      <c r="B14" s="28"/>
      <c r="D14" s="26"/>
      <c r="E14" s="27"/>
      <c r="F14" s="24">
        <v>65</v>
      </c>
      <c r="H14" s="26">
        <v>747798</v>
      </c>
      <c r="I14" s="24">
        <f t="shared" si="0"/>
        <v>48606870</v>
      </c>
      <c r="K14" s="25">
        <v>917753</v>
      </c>
      <c r="L14" s="24">
        <f t="shared" si="1"/>
        <v>59653945</v>
      </c>
    </row>
    <row r="15" spans="1:12" x14ac:dyDescent="0.25">
      <c r="A15" s="47">
        <f>(I15+I16)/D15</f>
        <v>1216934.3478260869</v>
      </c>
      <c r="B15" s="46">
        <f>(L15+L16)/D15</f>
        <v>1607146.7608695652</v>
      </c>
      <c r="D15" s="44">
        <v>46</v>
      </c>
      <c r="E15" s="45" t="s">
        <v>28</v>
      </c>
      <c r="F15" s="42">
        <v>27</v>
      </c>
      <c r="H15" s="44">
        <v>1202135</v>
      </c>
      <c r="I15" s="42">
        <f t="shared" si="0"/>
        <v>32457645</v>
      </c>
      <c r="K15" s="43">
        <v>1588984</v>
      </c>
      <c r="L15" s="42">
        <f t="shared" si="1"/>
        <v>42902568</v>
      </c>
    </row>
    <row r="16" spans="1:12" ht="14.4" thickBot="1" x14ac:dyDescent="0.3">
      <c r="A16" s="29"/>
      <c r="B16" s="28"/>
      <c r="D16" s="26"/>
      <c r="E16" s="27"/>
      <c r="F16" s="24">
        <v>19</v>
      </c>
      <c r="H16" s="54">
        <v>1237965</v>
      </c>
      <c r="I16" s="24">
        <f t="shared" si="0"/>
        <v>23521335</v>
      </c>
      <c r="K16" s="25">
        <v>1632957</v>
      </c>
      <c r="L16" s="24">
        <f t="shared" si="1"/>
        <v>31026183</v>
      </c>
    </row>
    <row r="17" spans="1:12" x14ac:dyDescent="0.25">
      <c r="A17" s="47">
        <f>(I17+I18+I19)/D17</f>
        <v>1607017.5</v>
      </c>
      <c r="B17" s="46">
        <f>(L17+L18+L19)/D17</f>
        <v>2040430.7317073171</v>
      </c>
      <c r="D17" s="44">
        <v>164</v>
      </c>
      <c r="E17" s="45" t="s">
        <v>29</v>
      </c>
      <c r="F17" s="42">
        <v>61</v>
      </c>
      <c r="H17" s="44">
        <v>1583550</v>
      </c>
      <c r="I17" s="42">
        <f t="shared" si="0"/>
        <v>96596550</v>
      </c>
      <c r="K17" s="43">
        <v>2011630</v>
      </c>
      <c r="L17" s="42">
        <f t="shared" si="1"/>
        <v>122709430</v>
      </c>
    </row>
    <row r="18" spans="1:12" x14ac:dyDescent="0.25">
      <c r="A18" s="35"/>
      <c r="B18" s="34"/>
      <c r="D18" s="32"/>
      <c r="E18" s="33"/>
      <c r="F18" s="30">
        <v>61</v>
      </c>
      <c r="H18" s="32">
        <v>1583550</v>
      </c>
      <c r="I18" s="30">
        <f t="shared" si="0"/>
        <v>96596550</v>
      </c>
      <c r="K18" s="31">
        <v>2011630</v>
      </c>
      <c r="L18" s="30">
        <f t="shared" si="1"/>
        <v>122709430</v>
      </c>
    </row>
    <row r="19" spans="1:12" ht="14.4" thickBot="1" x14ac:dyDescent="0.3">
      <c r="A19" s="29"/>
      <c r="B19" s="28"/>
      <c r="D19" s="26"/>
      <c r="E19" s="27"/>
      <c r="F19" s="24">
        <v>42</v>
      </c>
      <c r="H19" s="26">
        <v>1675185</v>
      </c>
      <c r="I19" s="24">
        <f t="shared" si="0"/>
        <v>70357770</v>
      </c>
      <c r="K19" s="25">
        <v>2124090</v>
      </c>
      <c r="L19" s="24">
        <f t="shared" si="1"/>
        <v>89211780</v>
      </c>
    </row>
    <row r="20" spans="1:12" x14ac:dyDescent="0.25">
      <c r="A20" s="47">
        <f>(I20+I21+I22+I23)/D20</f>
        <v>1384329.328</v>
      </c>
      <c r="B20" s="46">
        <f>(L20+L21+L22+L23)/D20</f>
        <v>1774726.824</v>
      </c>
      <c r="D20" s="44">
        <v>250</v>
      </c>
      <c r="E20" s="45" t="s">
        <v>2</v>
      </c>
      <c r="F20" s="42">
        <v>37</v>
      </c>
      <c r="H20" s="44">
        <v>1690654</v>
      </c>
      <c r="I20" s="42">
        <f t="shared" si="0"/>
        <v>62554198</v>
      </c>
      <c r="K20" s="43">
        <v>2185270</v>
      </c>
      <c r="L20" s="42">
        <f t="shared" si="1"/>
        <v>80854990</v>
      </c>
    </row>
    <row r="21" spans="1:12" x14ac:dyDescent="0.25">
      <c r="A21" s="35"/>
      <c r="B21" s="34"/>
      <c r="D21" s="32"/>
      <c r="E21" s="33"/>
      <c r="F21" s="30">
        <v>29</v>
      </c>
      <c r="H21" s="32">
        <v>1331118</v>
      </c>
      <c r="I21" s="30">
        <f t="shared" si="0"/>
        <v>38602422</v>
      </c>
      <c r="K21" s="31">
        <v>1766892</v>
      </c>
      <c r="L21" s="30">
        <f t="shared" si="1"/>
        <v>51239868</v>
      </c>
    </row>
    <row r="22" spans="1:12" x14ac:dyDescent="0.25">
      <c r="A22" s="35"/>
      <c r="B22" s="34"/>
      <c r="D22" s="32"/>
      <c r="E22" s="33"/>
      <c r="F22" s="30">
        <v>74</v>
      </c>
      <c r="H22" s="32">
        <v>1331118</v>
      </c>
      <c r="I22" s="30">
        <f t="shared" si="0"/>
        <v>98502732</v>
      </c>
      <c r="K22" s="31">
        <v>1715842</v>
      </c>
      <c r="L22" s="30">
        <f t="shared" si="1"/>
        <v>126972308</v>
      </c>
    </row>
    <row r="23" spans="1:12" ht="14.4" thickBot="1" x14ac:dyDescent="0.3">
      <c r="A23" s="29"/>
      <c r="B23" s="28"/>
      <c r="D23" s="26"/>
      <c r="E23" s="27"/>
      <c r="F23" s="24">
        <v>110</v>
      </c>
      <c r="H23" s="26">
        <v>1331118</v>
      </c>
      <c r="I23" s="24">
        <f t="shared" si="0"/>
        <v>146422980</v>
      </c>
      <c r="K23" s="25">
        <v>1678314</v>
      </c>
      <c r="L23" s="24">
        <f t="shared" si="1"/>
        <v>184614540</v>
      </c>
    </row>
    <row r="24" spans="1:12" x14ac:dyDescent="0.25">
      <c r="A24" s="41">
        <f>(I24+I26+I25+I27)/D24</f>
        <v>838553.96439169138</v>
      </c>
      <c r="B24" s="40">
        <f>(L24+L25+L26+L27)/D24</f>
        <v>1029134.4688427299</v>
      </c>
      <c r="D24" s="38">
        <v>337</v>
      </c>
      <c r="E24" s="39" t="s">
        <v>0</v>
      </c>
      <c r="F24" s="36">
        <v>25</v>
      </c>
      <c r="H24" s="38">
        <v>853127</v>
      </c>
      <c r="I24" s="36">
        <f t="shared" si="0"/>
        <v>21328175</v>
      </c>
      <c r="K24" s="37">
        <v>1047019</v>
      </c>
      <c r="L24" s="36">
        <f t="shared" si="1"/>
        <v>26175475</v>
      </c>
    </row>
    <row r="25" spans="1:12" x14ac:dyDescent="0.25">
      <c r="A25" s="35"/>
      <c r="B25" s="34"/>
      <c r="D25" s="32"/>
      <c r="E25" s="33"/>
      <c r="F25" s="30">
        <v>139</v>
      </c>
      <c r="H25" s="32">
        <v>837219</v>
      </c>
      <c r="I25" s="30">
        <f t="shared" si="0"/>
        <v>116373441</v>
      </c>
      <c r="K25" s="31">
        <v>1027496</v>
      </c>
      <c r="L25" s="30">
        <f t="shared" si="1"/>
        <v>142821944</v>
      </c>
    </row>
    <row r="26" spans="1:12" x14ac:dyDescent="0.25">
      <c r="A26" s="35"/>
      <c r="B26" s="34"/>
      <c r="D26" s="32"/>
      <c r="E26" s="33"/>
      <c r="F26" s="30">
        <v>83</v>
      </c>
      <c r="H26" s="32">
        <v>839690</v>
      </c>
      <c r="I26" s="30">
        <f t="shared" si="0"/>
        <v>69694270</v>
      </c>
      <c r="K26" s="31">
        <v>1030529</v>
      </c>
      <c r="L26" s="30">
        <f t="shared" si="1"/>
        <v>85533907</v>
      </c>
    </row>
    <row r="27" spans="1:12" ht="14.4" thickBot="1" x14ac:dyDescent="0.3">
      <c r="A27" s="29"/>
      <c r="B27" s="28"/>
      <c r="D27" s="26"/>
      <c r="E27" s="27"/>
      <c r="F27" s="24">
        <v>90</v>
      </c>
      <c r="H27" s="26">
        <v>835520</v>
      </c>
      <c r="I27" s="24">
        <f t="shared" si="0"/>
        <v>75196800</v>
      </c>
      <c r="K27" s="25">
        <v>1025411</v>
      </c>
      <c r="L27" s="24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I40"/>
  <sheetViews>
    <sheetView rightToLeft="1" topLeftCell="B1" workbookViewId="0">
      <selection activeCell="B2" sqref="A2:XFD40"/>
    </sheetView>
  </sheetViews>
  <sheetFormatPr defaultRowHeight="13.8" x14ac:dyDescent="0.25"/>
  <cols>
    <col min="1" max="1" width="10.69921875" style="57" hidden="1" customWidth="1"/>
    <col min="2" max="2" width="12.796875" bestFit="1" customWidth="1"/>
    <col min="3" max="3" width="7.69921875" hidden="1" customWidth="1"/>
    <col min="4" max="4" width="10.59765625" hidden="1" customWidth="1"/>
    <col min="5" max="5" width="9.19921875" style="63" bestFit="1" customWidth="1"/>
    <col min="6" max="6" width="12.19921875" style="63" bestFit="1" customWidth="1"/>
    <col min="7" max="7" width="12.3984375" style="63" bestFit="1" customWidth="1"/>
    <col min="8" max="8" width="14" style="56" hidden="1" customWidth="1"/>
    <col min="9" max="9" width="16.796875" hidden="1" customWidth="1"/>
  </cols>
  <sheetData>
    <row r="1" spans="1:9" s="62" customFormat="1" ht="39.6" x14ac:dyDescent="0.2">
      <c r="A1" s="111" t="s">
        <v>76</v>
      </c>
      <c r="B1" s="112" t="s">
        <v>7</v>
      </c>
      <c r="C1" s="103" t="s">
        <v>64</v>
      </c>
      <c r="D1" s="61" t="s">
        <v>74</v>
      </c>
      <c r="E1" s="113" t="s">
        <v>86</v>
      </c>
      <c r="F1" s="113" t="s">
        <v>9</v>
      </c>
      <c r="G1" s="113" t="s">
        <v>10</v>
      </c>
      <c r="H1" s="105" t="s">
        <v>35</v>
      </c>
      <c r="I1" s="61" t="s">
        <v>75</v>
      </c>
    </row>
    <row r="2" spans="1:9" ht="18" customHeight="1" x14ac:dyDescent="0.25">
      <c r="A2" s="59" t="s">
        <v>77</v>
      </c>
      <c r="B2" s="96" t="s">
        <v>82</v>
      </c>
      <c r="C2" s="104"/>
      <c r="D2" s="22"/>
      <c r="E2" s="3">
        <v>13600</v>
      </c>
      <c r="F2" s="3">
        <f>E2*80</f>
        <v>1088000</v>
      </c>
      <c r="G2" s="3">
        <f>E2*100</f>
        <v>1360000</v>
      </c>
      <c r="H2" s="106"/>
      <c r="I2" s="22"/>
    </row>
    <row r="3" spans="1:9" ht="18" hidden="1" customHeight="1" x14ac:dyDescent="0.25">
      <c r="A3" s="108"/>
      <c r="B3" s="109" t="s">
        <v>47</v>
      </c>
      <c r="C3" s="3">
        <v>16400</v>
      </c>
      <c r="D3" s="3">
        <v>17500</v>
      </c>
      <c r="E3" s="39"/>
      <c r="F3" s="39">
        <f>E3*80</f>
        <v>0</v>
      </c>
      <c r="G3" s="39">
        <f>E3*100</f>
        <v>0</v>
      </c>
      <c r="H3" s="55" t="s">
        <v>65</v>
      </c>
      <c r="I3" s="60" t="s">
        <v>68</v>
      </c>
    </row>
    <row r="4" spans="1:9" ht="18" hidden="1" customHeight="1" x14ac:dyDescent="0.25">
      <c r="A4" s="59"/>
      <c r="B4" s="2" t="s">
        <v>26</v>
      </c>
      <c r="C4" s="2"/>
      <c r="D4" s="3">
        <v>5000</v>
      </c>
      <c r="E4" s="3"/>
      <c r="F4" s="3">
        <f>E4*80</f>
        <v>0</v>
      </c>
      <c r="G4" s="3">
        <f>E4*100</f>
        <v>0</v>
      </c>
      <c r="H4" s="55" t="s">
        <v>41</v>
      </c>
      <c r="I4" s="22"/>
    </row>
    <row r="5" spans="1:9" ht="18" hidden="1" customHeight="1" x14ac:dyDescent="0.25">
      <c r="A5" s="59"/>
      <c r="B5" s="2" t="s">
        <v>4</v>
      </c>
      <c r="C5" s="2"/>
      <c r="D5" s="3">
        <v>22000</v>
      </c>
      <c r="E5" s="3"/>
      <c r="F5" s="3">
        <f>E5*80</f>
        <v>0</v>
      </c>
      <c r="G5" s="3">
        <f>E5*100</f>
        <v>0</v>
      </c>
      <c r="H5" s="55" t="s">
        <v>46</v>
      </c>
      <c r="I5" s="22" t="s">
        <v>45</v>
      </c>
    </row>
    <row r="6" spans="1:9" ht="18" hidden="1" customHeight="1" x14ac:dyDescent="0.25">
      <c r="A6" s="59"/>
      <c r="B6" s="2" t="s">
        <v>42</v>
      </c>
      <c r="C6" s="3">
        <v>17900</v>
      </c>
      <c r="D6" s="3">
        <v>22500</v>
      </c>
      <c r="E6" s="33"/>
      <c r="F6" s="33">
        <f>E6*80</f>
        <v>0</v>
      </c>
      <c r="G6" s="33">
        <f>E6*100</f>
        <v>0</v>
      </c>
      <c r="H6" s="55" t="s">
        <v>34</v>
      </c>
      <c r="I6" s="60"/>
    </row>
    <row r="7" spans="1:9" ht="18" customHeight="1" x14ac:dyDescent="0.25">
      <c r="A7" s="59" t="s">
        <v>77</v>
      </c>
      <c r="B7" s="2" t="s">
        <v>48</v>
      </c>
      <c r="C7" s="107"/>
      <c r="D7" s="3">
        <v>18900</v>
      </c>
      <c r="E7" s="3">
        <v>17600</v>
      </c>
      <c r="F7" s="3">
        <f t="shared" ref="F7:F8" si="0">E7*80</f>
        <v>1408000</v>
      </c>
      <c r="G7" s="3">
        <f t="shared" ref="G7:G8" si="1">E7*100</f>
        <v>1760000</v>
      </c>
      <c r="H7" s="106"/>
      <c r="I7" s="22"/>
    </row>
    <row r="8" spans="1:9" ht="18" customHeight="1" x14ac:dyDescent="0.25">
      <c r="A8" s="59" t="s">
        <v>77</v>
      </c>
      <c r="B8" s="2" t="s">
        <v>25</v>
      </c>
      <c r="C8" s="107"/>
      <c r="D8" s="3">
        <v>16000</v>
      </c>
      <c r="E8" s="3">
        <v>13400</v>
      </c>
      <c r="F8" s="3">
        <f t="shared" si="0"/>
        <v>1072000</v>
      </c>
      <c r="G8" s="3">
        <f t="shared" si="1"/>
        <v>1340000</v>
      </c>
      <c r="H8" s="106" t="s">
        <v>36</v>
      </c>
      <c r="I8" s="22"/>
    </row>
    <row r="9" spans="1:9" ht="18" hidden="1" customHeight="1" x14ac:dyDescent="0.25">
      <c r="A9" s="108"/>
      <c r="B9" s="109" t="s">
        <v>49</v>
      </c>
      <c r="C9" s="3"/>
      <c r="D9" s="3">
        <v>20800</v>
      </c>
      <c r="E9" s="110"/>
      <c r="F9" s="110">
        <f>E9*80</f>
        <v>0</v>
      </c>
      <c r="G9" s="110">
        <f>E9*100</f>
        <v>0</v>
      </c>
      <c r="H9" s="55"/>
      <c r="I9" s="22"/>
    </row>
    <row r="10" spans="1:9" ht="18" hidden="1" customHeight="1" x14ac:dyDescent="0.25">
      <c r="A10" s="59"/>
      <c r="B10" s="2" t="s">
        <v>24</v>
      </c>
      <c r="C10" s="3">
        <v>9950</v>
      </c>
      <c r="D10" s="3">
        <v>10500</v>
      </c>
      <c r="E10" s="33"/>
      <c r="F10" s="33">
        <f>E10*80</f>
        <v>0</v>
      </c>
      <c r="G10" s="33">
        <f>E10*100</f>
        <v>0</v>
      </c>
      <c r="H10" s="55" t="s">
        <v>66</v>
      </c>
      <c r="I10" s="60" t="s">
        <v>70</v>
      </c>
    </row>
    <row r="11" spans="1:9" ht="18" customHeight="1" x14ac:dyDescent="0.25">
      <c r="A11" s="59" t="s">
        <v>77</v>
      </c>
      <c r="B11" s="2" t="s">
        <v>59</v>
      </c>
      <c r="C11" s="107">
        <v>21500</v>
      </c>
      <c r="D11" s="3">
        <v>23400</v>
      </c>
      <c r="E11" s="3">
        <v>23400</v>
      </c>
      <c r="F11" s="3">
        <f>E11*80</f>
        <v>1872000</v>
      </c>
      <c r="G11" s="3">
        <f>E11*100</f>
        <v>2340000</v>
      </c>
      <c r="H11" s="106" t="s">
        <v>67</v>
      </c>
      <c r="I11" s="60" t="s">
        <v>69</v>
      </c>
    </row>
    <row r="12" spans="1:9" ht="18" hidden="1" customHeight="1" x14ac:dyDescent="0.25">
      <c r="A12" s="108"/>
      <c r="B12" s="109" t="s">
        <v>3</v>
      </c>
      <c r="C12" s="3">
        <v>22100</v>
      </c>
      <c r="D12" s="3">
        <v>20700</v>
      </c>
      <c r="E12" s="39"/>
      <c r="F12" s="39">
        <f>E12*80</f>
        <v>0</v>
      </c>
      <c r="G12" s="39">
        <f>E12*100</f>
        <v>0</v>
      </c>
      <c r="H12" s="55" t="s">
        <v>34</v>
      </c>
      <c r="I12" s="60"/>
    </row>
    <row r="13" spans="1:9" ht="18" hidden="1" customHeight="1" x14ac:dyDescent="0.25">
      <c r="A13" s="59"/>
      <c r="B13" s="2" t="s">
        <v>21</v>
      </c>
      <c r="C13" s="3"/>
      <c r="D13" s="3">
        <v>30100</v>
      </c>
      <c r="E13" s="3"/>
      <c r="F13" s="3">
        <f>E13*80</f>
        <v>0</v>
      </c>
      <c r="G13" s="3">
        <f>E13*100</f>
        <v>0</v>
      </c>
      <c r="H13" s="55" t="s">
        <v>34</v>
      </c>
      <c r="I13" s="22"/>
    </row>
    <row r="14" spans="1:9" ht="18" customHeight="1" x14ac:dyDescent="0.25">
      <c r="A14" s="59" t="s">
        <v>77</v>
      </c>
      <c r="B14" s="2" t="s">
        <v>19</v>
      </c>
      <c r="C14" s="107">
        <v>11000</v>
      </c>
      <c r="D14" s="3">
        <v>11000</v>
      </c>
      <c r="E14" s="3">
        <v>9700</v>
      </c>
      <c r="F14" s="3">
        <f t="shared" ref="F14:F15" si="2">E14*80</f>
        <v>776000</v>
      </c>
      <c r="G14" s="3">
        <f t="shared" ref="G14:G15" si="3">E14*100</f>
        <v>970000</v>
      </c>
      <c r="H14" s="106" t="s">
        <v>44</v>
      </c>
      <c r="I14" s="60" t="s">
        <v>71</v>
      </c>
    </row>
    <row r="15" spans="1:9" ht="18" customHeight="1" x14ac:dyDescent="0.25">
      <c r="A15" s="59" t="s">
        <v>77</v>
      </c>
      <c r="B15" s="96" t="s">
        <v>83</v>
      </c>
      <c r="C15" s="104"/>
      <c r="D15" s="22"/>
      <c r="E15" s="3">
        <v>22000</v>
      </c>
      <c r="F15" s="3">
        <f t="shared" si="2"/>
        <v>1760000</v>
      </c>
      <c r="G15" s="3">
        <f t="shared" si="3"/>
        <v>2200000</v>
      </c>
      <c r="H15" s="106"/>
      <c r="I15" s="22"/>
    </row>
    <row r="16" spans="1:9" ht="18" hidden="1" customHeight="1" x14ac:dyDescent="0.25">
      <c r="A16" s="108"/>
      <c r="B16" s="109" t="s">
        <v>60</v>
      </c>
      <c r="C16" s="3">
        <v>19300</v>
      </c>
      <c r="D16" s="3">
        <v>17700</v>
      </c>
      <c r="E16" s="39"/>
      <c r="F16" s="39">
        <f>E16*80</f>
        <v>0</v>
      </c>
      <c r="G16" s="39">
        <f>E16*100</f>
        <v>0</v>
      </c>
      <c r="H16" s="55" t="s">
        <v>34</v>
      </c>
      <c r="I16" s="60"/>
    </row>
    <row r="17" spans="1:9" ht="18" customHeight="1" x14ac:dyDescent="0.25">
      <c r="A17" s="59" t="s">
        <v>77</v>
      </c>
      <c r="B17" s="2" t="s">
        <v>61</v>
      </c>
      <c r="C17" s="107">
        <v>31100</v>
      </c>
      <c r="D17" s="3">
        <v>25800</v>
      </c>
      <c r="E17" s="3">
        <v>25800</v>
      </c>
      <c r="F17" s="3">
        <f t="shared" ref="F17:F18" si="4">E17*80</f>
        <v>2064000</v>
      </c>
      <c r="G17" s="3">
        <f t="shared" ref="G17:G18" si="5">E17*100</f>
        <v>2580000</v>
      </c>
      <c r="H17" s="106" t="s">
        <v>34</v>
      </c>
      <c r="I17" s="60"/>
    </row>
    <row r="18" spans="1:9" ht="18" customHeight="1" x14ac:dyDescent="0.25">
      <c r="A18" s="59" t="s">
        <v>77</v>
      </c>
      <c r="B18" s="2" t="s">
        <v>50</v>
      </c>
      <c r="C18" s="107"/>
      <c r="D18" s="3">
        <v>38900</v>
      </c>
      <c r="E18" s="3">
        <v>27300</v>
      </c>
      <c r="F18" s="3">
        <f t="shared" si="4"/>
        <v>2184000</v>
      </c>
      <c r="G18" s="3">
        <f t="shared" si="5"/>
        <v>2730000</v>
      </c>
      <c r="H18" s="106"/>
      <c r="I18" s="58"/>
    </row>
    <row r="19" spans="1:9" ht="18" hidden="1" customHeight="1" x14ac:dyDescent="0.25">
      <c r="A19" s="108"/>
      <c r="B19" s="109" t="s">
        <v>32</v>
      </c>
      <c r="C19" s="3"/>
      <c r="D19" s="3">
        <v>33500</v>
      </c>
      <c r="E19" s="110"/>
      <c r="F19" s="110">
        <f>E19*80</f>
        <v>0</v>
      </c>
      <c r="G19" s="110">
        <f>E19*100</f>
        <v>0</v>
      </c>
      <c r="H19" s="55" t="s">
        <v>37</v>
      </c>
      <c r="I19" s="58"/>
    </row>
    <row r="20" spans="1:9" ht="18" hidden="1" customHeight="1" x14ac:dyDescent="0.25">
      <c r="A20" s="59"/>
      <c r="B20" s="2" t="s">
        <v>62</v>
      </c>
      <c r="C20" s="3">
        <v>27500</v>
      </c>
      <c r="D20" s="3">
        <v>30400</v>
      </c>
      <c r="E20" s="33"/>
      <c r="F20" s="33">
        <f>E20*80</f>
        <v>0</v>
      </c>
      <c r="G20" s="33">
        <f>E20*100</f>
        <v>0</v>
      </c>
      <c r="H20" s="55" t="s">
        <v>34</v>
      </c>
      <c r="I20" s="58"/>
    </row>
    <row r="21" spans="1:9" ht="18" customHeight="1" x14ac:dyDescent="0.25">
      <c r="A21" s="59" t="s">
        <v>77</v>
      </c>
      <c r="B21" s="2" t="s">
        <v>20</v>
      </c>
      <c r="C21" s="107"/>
      <c r="D21" s="3">
        <v>13000</v>
      </c>
      <c r="E21" s="3">
        <v>10900</v>
      </c>
      <c r="F21" s="3">
        <f>E21*80</f>
        <v>872000</v>
      </c>
      <c r="G21" s="3">
        <f>E21*100</f>
        <v>1090000</v>
      </c>
      <c r="H21" s="106" t="s">
        <v>34</v>
      </c>
      <c r="I21" s="58"/>
    </row>
    <row r="22" spans="1:9" ht="18" hidden="1" customHeight="1" x14ac:dyDescent="0.25">
      <c r="A22" s="108"/>
      <c r="B22" s="109" t="s">
        <v>51</v>
      </c>
      <c r="C22" s="3"/>
      <c r="D22" s="3">
        <v>29300</v>
      </c>
      <c r="E22" s="110"/>
      <c r="F22" s="110">
        <f>E22*80</f>
        <v>0</v>
      </c>
      <c r="G22" s="110">
        <f>E22*100</f>
        <v>0</v>
      </c>
      <c r="H22" s="55"/>
      <c r="I22" s="58"/>
    </row>
    <row r="23" spans="1:9" ht="18" hidden="1" customHeight="1" x14ac:dyDescent="0.25">
      <c r="A23" s="59"/>
      <c r="B23" s="2" t="s">
        <v>52</v>
      </c>
      <c r="C23" s="3"/>
      <c r="D23" s="3">
        <v>12700</v>
      </c>
      <c r="E23" s="3"/>
      <c r="F23" s="3">
        <f>E23*80</f>
        <v>0</v>
      </c>
      <c r="G23" s="3">
        <f>E23*100</f>
        <v>0</v>
      </c>
      <c r="H23" s="55"/>
      <c r="I23" s="58"/>
    </row>
    <row r="24" spans="1:9" ht="18" customHeight="1" x14ac:dyDescent="0.25">
      <c r="A24" s="59" t="s">
        <v>77</v>
      </c>
      <c r="B24" s="96" t="s">
        <v>81</v>
      </c>
      <c r="C24" s="104"/>
      <c r="D24" s="22"/>
      <c r="E24" s="3">
        <v>14400</v>
      </c>
      <c r="F24" s="3">
        <f t="shared" ref="F24:F25" si="6">E24*80</f>
        <v>1152000</v>
      </c>
      <c r="G24" s="3">
        <f t="shared" ref="G24:G25" si="7">E24*100</f>
        <v>1440000</v>
      </c>
      <c r="H24" s="106"/>
      <c r="I24" s="22"/>
    </row>
    <row r="25" spans="1:9" ht="18" customHeight="1" x14ac:dyDescent="0.25">
      <c r="A25" s="59" t="s">
        <v>77</v>
      </c>
      <c r="B25" s="96" t="s">
        <v>84</v>
      </c>
      <c r="C25" s="104"/>
      <c r="D25" s="22"/>
      <c r="E25" s="3">
        <v>12900</v>
      </c>
      <c r="F25" s="3">
        <f t="shared" si="6"/>
        <v>1032000</v>
      </c>
      <c r="G25" s="3">
        <f t="shared" si="7"/>
        <v>1290000</v>
      </c>
      <c r="H25" s="106"/>
      <c r="I25" s="22"/>
    </row>
    <row r="26" spans="1:9" ht="18" hidden="1" customHeight="1" x14ac:dyDescent="0.25">
      <c r="A26" s="108"/>
      <c r="B26" s="109" t="s">
        <v>53</v>
      </c>
      <c r="C26" s="3"/>
      <c r="D26" s="3">
        <v>26800</v>
      </c>
      <c r="E26" s="110"/>
      <c r="F26" s="110">
        <f>E26*80</f>
        <v>0</v>
      </c>
      <c r="G26" s="110">
        <f>E26*100</f>
        <v>0</v>
      </c>
      <c r="H26" s="55"/>
      <c r="I26" s="58"/>
    </row>
    <row r="27" spans="1:9" ht="18" hidden="1" customHeight="1" x14ac:dyDescent="0.25">
      <c r="A27" s="59"/>
      <c r="B27" s="2" t="s">
        <v>28</v>
      </c>
      <c r="C27" s="3">
        <v>19500</v>
      </c>
      <c r="D27" s="3">
        <v>23900</v>
      </c>
      <c r="E27" s="33"/>
      <c r="F27" s="33">
        <f>E27*80</f>
        <v>0</v>
      </c>
      <c r="G27" s="33">
        <f>E27*100</f>
        <v>0</v>
      </c>
      <c r="H27" s="55" t="s">
        <v>34</v>
      </c>
      <c r="I27" s="60"/>
    </row>
    <row r="28" spans="1:9" ht="18" customHeight="1" x14ac:dyDescent="0.25">
      <c r="A28" s="59" t="s">
        <v>77</v>
      </c>
      <c r="B28" s="2" t="s">
        <v>54</v>
      </c>
      <c r="C28" s="107"/>
      <c r="D28" s="3">
        <v>18200</v>
      </c>
      <c r="E28" s="3">
        <v>15800</v>
      </c>
      <c r="F28" s="3">
        <f>E28*80</f>
        <v>1264000</v>
      </c>
      <c r="G28" s="3">
        <f>E28*100</f>
        <v>1580000</v>
      </c>
      <c r="H28" s="106"/>
      <c r="I28" s="58"/>
    </row>
    <row r="29" spans="1:9" ht="18" hidden="1" customHeight="1" x14ac:dyDescent="0.25">
      <c r="A29" s="108"/>
      <c r="B29" s="109" t="s">
        <v>22</v>
      </c>
      <c r="C29" s="3"/>
      <c r="D29" s="3">
        <v>15600</v>
      </c>
      <c r="E29" s="110"/>
      <c r="F29" s="110">
        <f>E29*80</f>
        <v>0</v>
      </c>
      <c r="G29" s="110">
        <f>E29*100</f>
        <v>0</v>
      </c>
      <c r="H29" s="55" t="s">
        <v>34</v>
      </c>
      <c r="I29" s="58"/>
    </row>
    <row r="30" spans="1:9" ht="18" hidden="1" customHeight="1" x14ac:dyDescent="0.25">
      <c r="A30" s="59"/>
      <c r="B30" s="2" t="s">
        <v>15</v>
      </c>
      <c r="C30" s="22"/>
      <c r="D30" s="3">
        <v>18100</v>
      </c>
      <c r="E30" s="3"/>
      <c r="F30" s="3">
        <f>E30*80</f>
        <v>0</v>
      </c>
      <c r="G30" s="3">
        <f>E30*100</f>
        <v>0</v>
      </c>
      <c r="H30" s="55" t="s">
        <v>38</v>
      </c>
      <c r="I30" s="58"/>
    </row>
    <row r="31" spans="1:9" ht="18" hidden="1" customHeight="1" x14ac:dyDescent="0.25">
      <c r="A31" s="59"/>
      <c r="B31" s="2" t="s">
        <v>16</v>
      </c>
      <c r="C31" s="3">
        <v>18200</v>
      </c>
      <c r="D31" s="3">
        <v>19400</v>
      </c>
      <c r="E31" s="33"/>
      <c r="F31" s="33">
        <f>E31*80</f>
        <v>0</v>
      </c>
      <c r="G31" s="33">
        <f>E31*100</f>
        <v>0</v>
      </c>
      <c r="H31" s="55" t="s">
        <v>33</v>
      </c>
      <c r="I31" s="60" t="s">
        <v>72</v>
      </c>
    </row>
    <row r="32" spans="1:9" ht="18" hidden="1" customHeight="1" x14ac:dyDescent="0.25">
      <c r="A32" s="59"/>
      <c r="B32" s="2" t="s">
        <v>55</v>
      </c>
      <c r="C32" s="3">
        <v>16700</v>
      </c>
      <c r="D32" s="3">
        <v>17600</v>
      </c>
      <c r="E32" s="33"/>
      <c r="F32" s="33">
        <f>E32*80</f>
        <v>0</v>
      </c>
      <c r="G32" s="33">
        <f>E32*100</f>
        <v>0</v>
      </c>
      <c r="H32" s="55" t="s">
        <v>34</v>
      </c>
      <c r="I32" s="60"/>
    </row>
    <row r="33" spans="1:9" ht="18" hidden="1" customHeight="1" x14ac:dyDescent="0.25">
      <c r="A33" s="59"/>
      <c r="B33" s="2" t="s">
        <v>56</v>
      </c>
      <c r="C33" s="3"/>
      <c r="D33" s="3">
        <v>22300</v>
      </c>
      <c r="E33" s="3"/>
      <c r="F33" s="3">
        <f>E33*80</f>
        <v>0</v>
      </c>
      <c r="G33" s="3">
        <f>E33*100</f>
        <v>0</v>
      </c>
      <c r="H33" s="55"/>
      <c r="I33" s="58"/>
    </row>
    <row r="34" spans="1:9" ht="18" hidden="1" customHeight="1" x14ac:dyDescent="0.25">
      <c r="A34" s="59"/>
      <c r="B34" s="2" t="s">
        <v>57</v>
      </c>
      <c r="C34" s="3"/>
      <c r="D34" s="3">
        <v>12400</v>
      </c>
      <c r="E34" s="3"/>
      <c r="F34" s="3">
        <f>E34*80</f>
        <v>0</v>
      </c>
      <c r="G34" s="3">
        <f>E34*100</f>
        <v>0</v>
      </c>
      <c r="H34" s="55"/>
      <c r="I34" s="58"/>
    </row>
    <row r="35" spans="1:9" ht="18" hidden="1" customHeight="1" x14ac:dyDescent="0.25">
      <c r="A35" s="59"/>
      <c r="B35" s="2" t="s">
        <v>23</v>
      </c>
      <c r="C35" s="3"/>
      <c r="D35" s="3">
        <v>27200</v>
      </c>
      <c r="E35" s="33"/>
      <c r="F35" s="33">
        <f>E35*80</f>
        <v>0</v>
      </c>
      <c r="G35" s="33">
        <f>E35*100</f>
        <v>0</v>
      </c>
      <c r="H35" s="55" t="s">
        <v>34</v>
      </c>
      <c r="I35" s="60" t="s">
        <v>73</v>
      </c>
    </row>
    <row r="36" spans="1:9" ht="18" customHeight="1" x14ac:dyDescent="0.25">
      <c r="A36" s="59" t="s">
        <v>77</v>
      </c>
      <c r="B36" s="2" t="s">
        <v>2</v>
      </c>
      <c r="C36" s="98"/>
      <c r="D36" s="98">
        <v>26700</v>
      </c>
      <c r="E36" s="3">
        <v>25400</v>
      </c>
      <c r="F36" s="3">
        <f>E36*80</f>
        <v>2032000</v>
      </c>
      <c r="G36" s="3">
        <f>E36*100</f>
        <v>2540000</v>
      </c>
      <c r="H36" s="99" t="s">
        <v>34</v>
      </c>
      <c r="I36" s="102"/>
    </row>
    <row r="37" spans="1:9" hidden="1" x14ac:dyDescent="0.25">
      <c r="A37" s="95"/>
      <c r="B37" s="97" t="s">
        <v>58</v>
      </c>
      <c r="C37" s="98"/>
      <c r="D37" s="98">
        <v>27600</v>
      </c>
      <c r="E37" s="98"/>
      <c r="F37" s="98">
        <f>E37*80</f>
        <v>0</v>
      </c>
      <c r="G37" s="98">
        <f>E37*100</f>
        <v>0</v>
      </c>
      <c r="H37" s="99" t="s">
        <v>39</v>
      </c>
      <c r="I37" s="102"/>
    </row>
    <row r="38" spans="1:9" hidden="1" x14ac:dyDescent="0.25">
      <c r="A38" s="95"/>
      <c r="B38" s="97" t="s">
        <v>0</v>
      </c>
      <c r="C38" s="98">
        <v>14800</v>
      </c>
      <c r="D38" s="98">
        <v>18100</v>
      </c>
      <c r="E38" s="101"/>
      <c r="F38" s="101">
        <f>E38*80</f>
        <v>0</v>
      </c>
      <c r="G38" s="101">
        <f>E38*100</f>
        <v>0</v>
      </c>
      <c r="H38" s="99" t="s">
        <v>34</v>
      </c>
      <c r="I38" s="102"/>
    </row>
    <row r="39" spans="1:9" hidden="1" x14ac:dyDescent="0.25">
      <c r="A39" s="95"/>
      <c r="B39" s="97" t="s">
        <v>43</v>
      </c>
      <c r="C39" s="98"/>
      <c r="D39" s="98">
        <v>36900</v>
      </c>
      <c r="E39" s="98"/>
      <c r="F39" s="98">
        <f>E39*80</f>
        <v>0</v>
      </c>
      <c r="G39" s="98">
        <f>E39*100</f>
        <v>0</v>
      </c>
      <c r="H39" s="99" t="s">
        <v>40</v>
      </c>
      <c r="I39" s="100"/>
    </row>
    <row r="40" spans="1:9" ht="18" customHeight="1" x14ac:dyDescent="0.25">
      <c r="A40" s="59" t="s">
        <v>77</v>
      </c>
      <c r="B40" s="96" t="s">
        <v>85</v>
      </c>
      <c r="E40" s="3">
        <v>13200</v>
      </c>
      <c r="F40" s="3">
        <f>E40*80</f>
        <v>1056000</v>
      </c>
      <c r="G40" s="3">
        <f>E40*100</f>
        <v>1320000</v>
      </c>
    </row>
  </sheetData>
  <autoFilter ref="A1:I40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2:I39">
      <sortCondition ref="B1:B3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2024-12-31T22:16:37Z</dcterms:modified>
</cp:coreProperties>
</file>