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36D5616-C38A-40D1-B288-5230A55BB1F0}" xr6:coauthVersionLast="47" xr6:coauthVersionMax="47" xr10:uidLastSave="{00000000-0000-0000-0000-000000000000}"/>
  <bookViews>
    <workbookView xWindow="-120" yWindow="-120" windowWidth="29040" windowHeight="15720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חופשי'!$A$1:$I$53</definedName>
    <definedName name="_xlnm._FilterDatabase" localSheetId="0" hidden="1">ראשי!$A$3:$V$25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2" l="1"/>
  <c r="G25" i="4"/>
  <c r="G26" i="4"/>
  <c r="G27" i="4"/>
  <c r="G29" i="4"/>
  <c r="R9" i="2"/>
  <c r="M4" i="2"/>
  <c r="Q4" i="2"/>
  <c r="R4" i="2" s="1"/>
  <c r="Q5" i="2"/>
  <c r="R5" i="2" s="1"/>
  <c r="Q6" i="2"/>
  <c r="R6" i="2" s="1"/>
  <c r="Q7" i="2"/>
  <c r="R7" i="2" s="1"/>
  <c r="Q8" i="2"/>
  <c r="R8" i="2" s="1"/>
  <c r="Q9" i="2"/>
  <c r="Q10" i="2"/>
  <c r="R10" i="2" s="1"/>
  <c r="Q11" i="2"/>
  <c r="R11" i="2" s="1"/>
  <c r="Q12" i="2"/>
  <c r="R12" i="2" s="1"/>
  <c r="Q13" i="2"/>
  <c r="R13" i="2" s="1"/>
  <c r="Q14" i="2"/>
  <c r="R14" i="2" s="1"/>
  <c r="Q15" i="2"/>
  <c r="R15" i="2" s="1"/>
  <c r="Q16" i="2"/>
  <c r="R16" i="2" s="1"/>
  <c r="Q17" i="2"/>
  <c r="R17" i="2" s="1"/>
  <c r="Q18" i="2"/>
  <c r="R18" i="2" s="1"/>
  <c r="Q19" i="2"/>
  <c r="R19" i="2" s="1"/>
  <c r="Q20" i="2"/>
  <c r="R20" i="2" s="1"/>
  <c r="Q21" i="2"/>
  <c r="R21" i="2" s="1"/>
  <c r="Q22" i="2"/>
  <c r="R22" i="2" s="1"/>
  <c r="Q23" i="2"/>
  <c r="R23" i="2" s="1"/>
  <c r="Q24" i="2"/>
  <c r="R24" i="2" s="1"/>
  <c r="Q25" i="2"/>
  <c r="R25" i="2" s="1"/>
  <c r="L4" i="2"/>
  <c r="H31" i="4"/>
  <c r="T17" i="2" s="1"/>
  <c r="H8" i="4"/>
  <c r="T5" i="2" s="1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G9" i="2"/>
  <c r="H9" i="2" s="1"/>
  <c r="G18" i="2"/>
  <c r="H18" i="2" s="1"/>
  <c r="G19" i="2"/>
  <c r="H19" i="2" s="1"/>
  <c r="G20" i="2"/>
  <c r="H20" i="2" s="1"/>
  <c r="G21" i="2"/>
  <c r="H21" i="2" s="1"/>
  <c r="G22" i="2"/>
  <c r="H22" i="2" s="1"/>
  <c r="G24" i="2"/>
  <c r="H24" i="2" s="1"/>
  <c r="G25" i="2"/>
  <c r="H25" i="2" s="1"/>
  <c r="G23" i="2"/>
  <c r="H23" i="2" s="1"/>
  <c r="L25" i="2"/>
  <c r="M25" i="2" s="1"/>
  <c r="L23" i="2"/>
  <c r="M23" i="2" s="1"/>
  <c r="L24" i="2"/>
  <c r="M24" i="2" s="1"/>
  <c r="L22" i="2"/>
  <c r="M22" i="2" s="1"/>
  <c r="L18" i="2"/>
  <c r="M18" i="2" s="1"/>
  <c r="L19" i="2"/>
  <c r="M19" i="2" s="1"/>
  <c r="L20" i="2"/>
  <c r="M20" i="2" s="1"/>
  <c r="L21" i="2"/>
  <c r="M21" i="2" s="1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J23" i="2" s="1"/>
  <c r="I23" i="2" s="1"/>
  <c r="E52" i="4"/>
  <c r="F52" i="4" s="1"/>
  <c r="J25" i="2" s="1"/>
  <c r="I25" i="2" s="1"/>
  <c r="E44" i="4"/>
  <c r="G44" i="4" s="1"/>
  <c r="O24" i="2" s="1"/>
  <c r="E40" i="4"/>
  <c r="G40" i="4" s="1"/>
  <c r="O22" i="2" s="1"/>
  <c r="E36" i="4"/>
  <c r="F36" i="4" s="1"/>
  <c r="J21" i="2" s="1"/>
  <c r="I21" i="2" s="1"/>
  <c r="E35" i="4"/>
  <c r="F35" i="4" s="1"/>
  <c r="J20" i="2" s="1"/>
  <c r="I20" i="2" s="1"/>
  <c r="E34" i="4"/>
  <c r="G34" i="4" s="1"/>
  <c r="O19" i="2" s="1"/>
  <c r="E33" i="4"/>
  <c r="F33" i="4" s="1"/>
  <c r="J18" i="2" s="1"/>
  <c r="I18" i="2" s="1"/>
  <c r="E31" i="4"/>
  <c r="G31" i="4" s="1"/>
  <c r="O17" i="2" s="1"/>
  <c r="N17" i="2" s="1"/>
  <c r="E30" i="4"/>
  <c r="G30" i="4" s="1"/>
  <c r="O16" i="2" s="1"/>
  <c r="E28" i="4"/>
  <c r="F28" i="4" s="1"/>
  <c r="E24" i="4"/>
  <c r="F24" i="4" s="1"/>
  <c r="E23" i="4"/>
  <c r="G23" i="4" s="1"/>
  <c r="O13" i="2" s="1"/>
  <c r="N13" i="2" s="1"/>
  <c r="E22" i="4"/>
  <c r="G22" i="4" s="1"/>
  <c r="O12" i="2" s="1"/>
  <c r="E20" i="4"/>
  <c r="G20" i="4" s="1"/>
  <c r="O11" i="2" s="1"/>
  <c r="N11" i="2" s="1"/>
  <c r="E19" i="4"/>
  <c r="G19" i="4" s="1"/>
  <c r="O10" i="2" s="1"/>
  <c r="N10" i="2" s="1"/>
  <c r="E17" i="4"/>
  <c r="G17" i="4" s="1"/>
  <c r="O9" i="2" s="1"/>
  <c r="N9" i="2" s="1"/>
  <c r="E15" i="4"/>
  <c r="G15" i="4" s="1"/>
  <c r="O8" i="2" s="1"/>
  <c r="E12" i="4"/>
  <c r="F12" i="4" s="1"/>
  <c r="J7" i="2" s="1"/>
  <c r="I7" i="2" s="1"/>
  <c r="E9" i="4"/>
  <c r="G9" i="4" s="1"/>
  <c r="O6" i="2" s="1"/>
  <c r="E8" i="4"/>
  <c r="G8" i="4" s="1"/>
  <c r="O5" i="2" s="1"/>
  <c r="N5" i="2" s="1"/>
  <c r="E7" i="4"/>
  <c r="G7" i="4" s="1"/>
  <c r="G5" i="2"/>
  <c r="H5" i="2" s="1"/>
  <c r="G6" i="2"/>
  <c r="H6" i="2" s="1"/>
  <c r="G7" i="2"/>
  <c r="H7" i="2" s="1"/>
  <c r="G8" i="2"/>
  <c r="H8" i="2" s="1"/>
  <c r="G10" i="2"/>
  <c r="H10" i="2" s="1"/>
  <c r="G11" i="2"/>
  <c r="H11" i="2" s="1"/>
  <c r="G12" i="2"/>
  <c r="H12" i="2" s="1"/>
  <c r="G13" i="2"/>
  <c r="H13" i="2" s="1"/>
  <c r="G16" i="2"/>
  <c r="H16" i="2" s="1"/>
  <c r="G17" i="2"/>
  <c r="H17" i="2" s="1"/>
  <c r="G4" i="2"/>
  <c r="H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6" i="2"/>
  <c r="M16" i="2" s="1"/>
  <c r="L17" i="2"/>
  <c r="M17" i="2" s="1"/>
  <c r="S5" i="2" l="1"/>
  <c r="S17" i="2"/>
  <c r="H52" i="4"/>
  <c r="G28" i="4"/>
  <c r="F8" i="4"/>
  <c r="J5" i="2" s="1"/>
  <c r="I5" i="2" s="1"/>
  <c r="F7" i="4"/>
  <c r="J4" i="2" s="1"/>
  <c r="I4" i="2" s="1"/>
  <c r="H24" i="4"/>
  <c r="G24" i="4"/>
  <c r="N16" i="2"/>
  <c r="N22" i="2"/>
  <c r="N24" i="2"/>
  <c r="N8" i="2"/>
  <c r="N6" i="2"/>
  <c r="H9" i="4"/>
  <c r="F9" i="4"/>
  <c r="J6" i="2" s="1"/>
  <c r="I6" i="2" s="1"/>
  <c r="H12" i="4"/>
  <c r="H15" i="4"/>
  <c r="H35" i="4"/>
  <c r="F19" i="4"/>
  <c r="J10" i="2" s="1"/>
  <c r="I10" i="2" s="1"/>
  <c r="H20" i="4"/>
  <c r="H44" i="4"/>
  <c r="H33" i="4"/>
  <c r="N19" i="2"/>
  <c r="H22" i="4"/>
  <c r="H34" i="4"/>
  <c r="H36" i="4"/>
  <c r="H23" i="4"/>
  <c r="H53" i="4"/>
  <c r="N12" i="2"/>
  <c r="G12" i="4"/>
  <c r="O7" i="2" s="1"/>
  <c r="H19" i="4"/>
  <c r="H40" i="4"/>
  <c r="G33" i="4"/>
  <c r="O18" i="2" s="1"/>
  <c r="H28" i="4"/>
  <c r="H17" i="4"/>
  <c r="F40" i="4"/>
  <c r="J22" i="2" s="1"/>
  <c r="I22" i="2" s="1"/>
  <c r="F17" i="4"/>
  <c r="J9" i="2" s="1"/>
  <c r="I9" i="2" s="1"/>
  <c r="H7" i="4"/>
  <c r="H30" i="4"/>
  <c r="N4" i="2"/>
  <c r="F34" i="4"/>
  <c r="J19" i="2" s="1"/>
  <c r="I19" i="2" s="1"/>
  <c r="F15" i="4"/>
  <c r="J8" i="2" s="1"/>
  <c r="I8" i="2" s="1"/>
  <c r="G36" i="4"/>
  <c r="O21" i="2" s="1"/>
  <c r="F31" i="4"/>
  <c r="J17" i="2" s="1"/>
  <c r="I17" i="2" s="1"/>
  <c r="G35" i="4"/>
  <c r="O20" i="2" s="1"/>
  <c r="C26" i="2"/>
  <c r="F22" i="4"/>
  <c r="J12" i="2" s="1"/>
  <c r="I12" i="2" s="1"/>
  <c r="F23" i="4"/>
  <c r="J13" i="2" s="1"/>
  <c r="I13" i="2" s="1"/>
  <c r="F30" i="4"/>
  <c r="J16" i="2" s="1"/>
  <c r="I16" i="2" s="1"/>
  <c r="G53" i="4"/>
  <c r="O23" i="2" s="1"/>
  <c r="F44" i="4"/>
  <c r="J24" i="2" s="1"/>
  <c r="I24" i="2" s="1"/>
  <c r="F20" i="4"/>
  <c r="J11" i="2" s="1"/>
  <c r="I11" i="2" s="1"/>
  <c r="G52" i="4"/>
  <c r="O25" i="2" s="1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T9" i="2" l="1"/>
  <c r="S9" i="2" s="1"/>
  <c r="T15" i="2"/>
  <c r="S15" i="2" s="1"/>
  <c r="T18" i="2"/>
  <c r="S18" i="2" s="1"/>
  <c r="T24" i="2"/>
  <c r="S24" i="2" s="1"/>
  <c r="T14" i="2"/>
  <c r="S14" i="2" s="1"/>
  <c r="T22" i="2"/>
  <c r="S22" i="2" s="1"/>
  <c r="S11" i="2"/>
  <c r="T11" i="2"/>
  <c r="T10" i="2"/>
  <c r="S10" i="2" s="1"/>
  <c r="T16" i="2"/>
  <c r="S16" i="2" s="1"/>
  <c r="T13" i="2"/>
  <c r="S13" i="2" s="1"/>
  <c r="T4" i="2"/>
  <c r="S4" i="2" s="1"/>
  <c r="T21" i="2"/>
  <c r="S21" i="2" s="1"/>
  <c r="T6" i="2"/>
  <c r="S6" i="2" s="1"/>
  <c r="T20" i="2"/>
  <c r="S20" i="2" s="1"/>
  <c r="T23" i="2"/>
  <c r="S23" i="2" s="1"/>
  <c r="T7" i="2"/>
  <c r="S7" i="2" s="1"/>
  <c r="T25" i="2"/>
  <c r="S25" i="2" s="1"/>
  <c r="T8" i="2"/>
  <c r="S8" i="2" s="1"/>
  <c r="T12" i="2"/>
  <c r="S12" i="2" s="1"/>
  <c r="T19" i="2"/>
  <c r="S19" i="2" s="1"/>
  <c r="N20" i="2"/>
  <c r="N18" i="2"/>
  <c r="N21" i="2"/>
  <c r="N25" i="2"/>
  <c r="N23" i="2"/>
  <c r="N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</calcChain>
</file>

<file path=xl/sharedStrings.xml><?xml version="1.0" encoding="utf-8"?>
<sst xmlns="http://schemas.openxmlformats.org/spreadsheetml/2006/main" count="146" uniqueCount="96">
  <si>
    <t>רכסים</t>
  </si>
  <si>
    <t>רחובות</t>
  </si>
  <si>
    <t>בני עי"ש</t>
  </si>
  <si>
    <t>אלעד</t>
  </si>
  <si>
    <t>רווח
לעומת
מחיר
שוק</t>
  </si>
  <si>
    <t>מענק</t>
  </si>
  <si>
    <t>יישוב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</si>
  <si>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</si>
  <si>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</si>
  <si>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</si>
  <si>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</si>
  <si>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</si>
  <si>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</si>
  <si>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</si>
  <si>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</si>
  <si>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</si>
  <si>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</si>
  <si>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</si>
  <si>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</si>
  <si>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</si>
  <si>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</si>
  <si>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</si>
  <si>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</si>
  <si>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</si>
  <si>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</si>
  <si>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</si>
  <si>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</si>
  <si>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</si>
  <si>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</si>
  <si>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</si>
  <si>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</si>
  <si>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</si>
  <si>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</si>
  <si>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</si>
  <si>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</si>
  <si>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</si>
  <si>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</si>
  <si>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</si>
  <si>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</si>
  <si>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</si>
  <si>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</si>
  <si>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</si>
  <si>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</si>
  <si>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</si>
  <si>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</si>
  <si>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</si>
  <si>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</si>
  <si>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</si>
  <si>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</si>
  <si>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</si>
  <si>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</si>
  <si>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</si>
  <si>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רווח
לעומת
מחיר
השוק</t>
  </si>
  <si>
    <t>נוף הגליל</t>
  </si>
  <si>
    <t>אופקים</t>
  </si>
  <si>
    <t>חיפה</t>
  </si>
  <si>
    <t>נצרת</t>
  </si>
  <si>
    <t>שדרות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</si>
  <si>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</si>
  <si>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</si>
  <si>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</si>
  <si>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</si>
  <si>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</si>
  <si>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</si>
  <si>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</si>
  <si>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</si>
  <si>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</si>
  <si>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</si>
  <si>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</si>
  <si>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</si>
  <si>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</si>
  <si>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</si>
  <si>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</si>
  <si>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</si>
  <si>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</si>
  <si>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החזר חודשי  המקסימלי</t>
  </si>
  <si>
    <t>מחיר לאחר
הנחה ומענק</t>
  </si>
  <si>
    <t>מתוכם
דירות
לבני
מקום</t>
  </si>
  <si>
    <t>ס"ה</t>
  </si>
  <si>
    <t>חמשה חדרים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</si>
  <si>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</si>
  <si>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הרווח
לעומת
מחיר
השוק</t>
  </si>
  <si>
    <t>הון עצמי
הנדרש</t>
  </si>
  <si>
    <t>מחיר לאחר
ההנחה ומענק</t>
  </si>
  <si>
    <t>החזר חודשי
מקסימלי</t>
  </si>
  <si>
    <t>הון עצמי
נדרש</t>
  </si>
  <si>
    <t>המחיר לאחר
ההנחה ומענק</t>
  </si>
  <si>
    <t>הון העצמי
הנדרש</t>
  </si>
  <si>
    <t>החזר החודשי
המקסימלי</t>
  </si>
  <si>
    <t>סך דירות
הפתוחות גם
לציבור החרדי</t>
  </si>
  <si>
    <t>דירת 4 חדרים של 100 מ"ר</t>
  </si>
  <si>
    <t>רווח
באחוזים
לכל ₪
מושקע</t>
  </si>
  <si>
    <t>רווח
באחוזים
לכל שקל
מושקע</t>
  </si>
  <si>
    <t>הרווח
באחוזים
לכל ₪
מושקע</t>
  </si>
  <si>
    <t>מתוכם
דירות
לכלל
הציבור</t>
  </si>
  <si>
    <t>הערכת
סיכוי
זכייה
לחיצוני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</si>
</sst>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2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8"/>
      <color theme="1"/>
      <name val="Adama"/>
      <charset val="177"/>
    </font>
    <font>
      <b/>
      <sz val="12"/>
      <color theme="1"/>
      <name val="Arial"/>
      <family val="2"/>
      <charset val="177"/>
      <scheme val="minor"/>
    </font>
    <font>
      <b/>
      <sz val="12"/>
      <color theme="1"/>
      <name val="Adama"/>
      <charset val="177"/>
    </font>
    <font>
      <b/>
      <sz val="12"/>
      <color theme="2" tint="-0.89999084444715716"/>
      <name val="Adama"/>
      <charset val="177"/>
    </font>
    <font>
      <sz val="12"/>
      <color theme="2" tint="-0.89999084444715716"/>
      <name val="Adama"/>
      <charset val="177"/>
    </font>
    <font>
      <sz val="12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6" fillId="0" borderId="1" xfId="0" applyFont="1" applyBorder="1"/>
    <xf numFmtId="0" fontId="8" fillId="0" borderId="0" xfId="0" applyFont="1"/>
    <xf numFmtId="9" fontId="6" fillId="0" borderId="1" xfId="2" applyFont="1" applyBorder="1"/>
    <xf numFmtId="165" fontId="6" fillId="0" borderId="1" xfId="1" applyNumberFormat="1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0" xfId="0" applyFont="1"/>
    <xf numFmtId="0" fontId="14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1" fontId="6" fillId="0" borderId="2" xfId="0" applyNumberFormat="1" applyFont="1" applyBorder="1"/>
    <xf numFmtId="1" fontId="11" fillId="0" borderId="1" xfId="0" applyNumberFormat="1" applyFont="1" applyBorder="1"/>
    <xf numFmtId="0" fontId="6" fillId="0" borderId="10" xfId="0" applyFont="1" applyBorder="1"/>
    <xf numFmtId="1" fontId="11" fillId="0" borderId="10" xfId="0" applyNumberFormat="1" applyFont="1" applyBorder="1"/>
    <xf numFmtId="1" fontId="6" fillId="0" borderId="26" xfId="0" applyNumberFormat="1" applyFont="1" applyBorder="1"/>
    <xf numFmtId="165" fontId="6" fillId="0" borderId="9" xfId="1" applyNumberFormat="1" applyFont="1" applyBorder="1"/>
    <xf numFmtId="165" fontId="6" fillId="0" borderId="10" xfId="1" applyNumberFormat="1" applyFont="1" applyBorder="1"/>
    <xf numFmtId="9" fontId="6" fillId="0" borderId="10" xfId="2" applyFont="1" applyBorder="1"/>
    <xf numFmtId="165" fontId="6" fillId="0" borderId="11" xfId="1" applyNumberFormat="1" applyFont="1" applyBorder="1"/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165" fontId="6" fillId="0" borderId="7" xfId="1" applyNumberFormat="1" applyFont="1" applyBorder="1" applyAlignment="1">
      <alignment readingOrder="2"/>
    </xf>
    <xf numFmtId="0" fontId="9" fillId="3" borderId="29" xfId="0" applyFont="1" applyFill="1" applyBorder="1" applyAlignment="1">
      <alignment horizontal="center"/>
    </xf>
    <xf numFmtId="0" fontId="9" fillId="3" borderId="30" xfId="0" applyFont="1" applyFill="1" applyBorder="1" applyAlignment="1">
      <alignment horizontal="center"/>
    </xf>
    <xf numFmtId="0" fontId="5" fillId="0" borderId="32" xfId="0" applyFont="1" applyBorder="1"/>
    <xf numFmtId="0" fontId="14" fillId="0" borderId="0" xfId="0" applyFont="1"/>
    <xf numFmtId="165" fontId="5" fillId="0" borderId="6" xfId="1" applyNumberFormat="1" applyFont="1" applyBorder="1"/>
    <xf numFmtId="0" fontId="13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3" borderId="20" xfId="0" applyFont="1" applyFill="1" applyBorder="1" applyAlignment="1">
      <alignment horizontal="center"/>
    </xf>
    <xf numFmtId="2" fontId="6" fillId="0" borderId="0" xfId="2" applyNumberFormat="1" applyFont="1"/>
    <xf numFmtId="0" fontId="9" fillId="3" borderId="29" xfId="0" applyFont="1" applyFill="1" applyBorder="1" applyAlignment="1">
      <alignment horizontal="right"/>
    </xf>
    <xf numFmtId="165" fontId="6" fillId="0" borderId="1" xfId="1" applyNumberFormat="1" applyFont="1" applyBorder="1" applyAlignment="1">
      <alignment horizontal="right"/>
    </xf>
    <xf numFmtId="165" fontId="6" fillId="0" borderId="10" xfId="1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12" xfId="0" applyBorder="1"/>
    <xf numFmtId="0" fontId="15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5" fillId="0" borderId="12" xfId="0" applyFont="1" applyBorder="1"/>
    <xf numFmtId="0" fontId="14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5" fillId="0" borderId="18" xfId="0" applyFont="1" applyBorder="1"/>
    <xf numFmtId="0" fontId="15" fillId="0" borderId="32" xfId="0" applyFont="1" applyBorder="1"/>
    <xf numFmtId="0" fontId="14" fillId="0" borderId="32" xfId="0" applyFont="1" applyBorder="1"/>
    <xf numFmtId="0" fontId="14" fillId="0" borderId="18" xfId="0" applyFont="1" applyBorder="1"/>
    <xf numFmtId="165" fontId="4" fillId="0" borderId="1" xfId="1" applyNumberFormat="1" applyFont="1" applyBorder="1"/>
    <xf numFmtId="165" fontId="6" fillId="0" borderId="7" xfId="1" applyNumberFormat="1" applyFont="1" applyBorder="1" applyAlignment="1">
      <alignment horizontal="center"/>
    </xf>
    <xf numFmtId="165" fontId="6" fillId="0" borderId="2" xfId="0" applyNumberFormat="1" applyFont="1" applyBorder="1"/>
    <xf numFmtId="165" fontId="6" fillId="0" borderId="9" xfId="1" applyNumberFormat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1" fontId="6" fillId="0" borderId="1" xfId="0" applyNumberFormat="1" applyFont="1" applyBorder="1"/>
    <xf numFmtId="1" fontId="6" fillId="0" borderId="10" xfId="0" applyNumberFormat="1" applyFont="1" applyBorder="1"/>
    <xf numFmtId="9" fontId="6" fillId="0" borderId="0" xfId="2" applyFont="1"/>
    <xf numFmtId="165" fontId="6" fillId="0" borderId="36" xfId="1" applyNumberFormat="1" applyFont="1" applyBorder="1"/>
    <xf numFmtId="165" fontId="6" fillId="0" borderId="37" xfId="1" applyNumberFormat="1" applyFont="1" applyBorder="1"/>
    <xf numFmtId="165" fontId="5" fillId="0" borderId="32" xfId="1" applyNumberFormat="1" applyFont="1" applyBorder="1"/>
    <xf numFmtId="165" fontId="5" fillId="0" borderId="0" xfId="1" applyNumberFormat="1" applyFont="1" applyBorder="1"/>
    <xf numFmtId="9" fontId="6" fillId="0" borderId="36" xfId="2" applyFont="1" applyBorder="1"/>
    <xf numFmtId="9" fontId="6" fillId="0" borderId="37" xfId="2" applyFont="1" applyBorder="1"/>
    <xf numFmtId="165" fontId="6" fillId="0" borderId="26" xfId="0" applyNumberFormat="1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1" fillId="0" borderId="32" xfId="0" applyNumberFormat="1" applyFont="1" applyBorder="1"/>
    <xf numFmtId="1" fontId="6" fillId="0" borderId="40" xfId="0" applyNumberFormat="1" applyFont="1" applyBorder="1"/>
    <xf numFmtId="165" fontId="6" fillId="0" borderId="41" xfId="1" applyNumberFormat="1" applyFont="1" applyBorder="1"/>
    <xf numFmtId="165" fontId="6" fillId="0" borderId="42" xfId="1" applyNumberFormat="1" applyFont="1" applyBorder="1"/>
    <xf numFmtId="43" fontId="0" fillId="0" borderId="0" xfId="1" applyFont="1"/>
    <xf numFmtId="0" fontId="11" fillId="0" borderId="39" xfId="0" applyFont="1" applyBorder="1"/>
    <xf numFmtId="0" fontId="11" fillId="0" borderId="0" xfId="0" applyFont="1"/>
    <xf numFmtId="0" fontId="17" fillId="0" borderId="7" xfId="0" applyFont="1" applyBorder="1"/>
    <xf numFmtId="0" fontId="18" fillId="0" borderId="7" xfId="0" applyFont="1" applyBorder="1"/>
    <xf numFmtId="0" fontId="18" fillId="0" borderId="9" xfId="0" applyFont="1" applyBorder="1"/>
    <xf numFmtId="0" fontId="19" fillId="2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38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horizontal="center" vertical="center" wrapText="1"/>
    </xf>
    <xf numFmtId="2" fontId="20" fillId="2" borderId="15" xfId="0" applyNumberFormat="1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10" fillId="0" borderId="2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9" fillId="3" borderId="31" xfId="0" applyFont="1" applyFill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  <xf numFmtId="164" fontId="6" fillId="0" borderId="8" xfId="2" applyNumberFormat="1" applyFont="1" applyBorder="1" applyAlignment="1">
      <alignment horizontal="center"/>
    </xf>
    <xf numFmtId="164" fontId="6" fillId="0" borderId="11" xfId="2" applyNumberFormat="1" applyFont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31"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4" formatCode="0.0%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V26" totalsRowCount="1" headerRowDxfId="30" dataDxfId="28" headerRowBorderDxfId="29" totalsRowBorderDxfId="27">
  <autoFilter ref="A3:V25" xr:uid="{40459C0C-8BE3-4349-817C-C32C2A69F611}"/>
  <sortState xmlns:xlrd2="http://schemas.microsoft.com/office/spreadsheetml/2017/richdata2" ref="A4:V25">
    <sortCondition ref="A3:A25"/>
  </sortState>
  <tableColumns count="22">
    <tableColumn id="1" xr3:uid="{7289026B-289A-430D-B029-2F65277F5A00}" name="יישוב" totalsRowLabel="ס&quot;ה" dataDxfId="26" totalsRowDxfId="25"/>
    <tableColumn id="2" xr3:uid="{89AD43AA-5D77-4010-9990-CE707527FB3D}" name="מיקום_x000a_בסדר_x000a_ההגרלות" dataDxfId="24" totalsRowDxfId="23"/>
    <tableColumn id="3" xr3:uid="{A63B2213-9752-4537-A56B-923510FBEAF9}" name="סך דירות_x000a_הפתוחות גם_x000a_לציבור החרדי" totalsRowFunction="custom" dataDxfId="22" totalsRowDxfId="21">
      <calculatedColumnFormula>טבלה1[[#This Row],[מתוכם
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_x000a_דירות_x000a_לכלל_x000a_הציבור" totalsRowFunction="sum" dataDxfId="20" totalsRowDxfId="19"/>
    <tableColumn id="5" xr3:uid="{753146F1-00E0-4E4D-A024-761A635E1C22}" name="מתוכם_x000a_דירות_x000a_לבני_x000a_מקום" totalsRowFunction="sum" dataDxfId="18" totalsRowDxfId="17"/>
    <tableColumn id="6" xr3:uid="{793847A6-0BBE-4F44-B398-9A63C25CD427}" name="מחיר לאחר_x000a_הנחה ומענק" dataDxfId="16" dataCellStyle="Comma"/>
    <tableColumn id="8" xr3:uid="{8B9599BE-64F9-4B61-9CD5-21E01298B74C}" name="הון עצמי_x000a_נדרש" dataDxfId="15" dataCellStyle="Comma">
      <calculatedColumnFormula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 חודשי_x000a_מקסימלי" dataDxfId="14" dataCellStyle="Percent">
      <calculatedColumnFormula>(טבלה1[[#This Row],[מחיר לאחר
הנחה ומענק]]-טבלה1[[#This Row],[הון עצמי
נדרש]])/100000*530</calculatedColumnFormula>
    </tableColumn>
    <tableColumn id="9" xr3:uid="{73062261-CDA0-4C85-BB80-4E12D0B42311}" name="רווח_x000a_באחוזים_x000a_לכל ₪_x000a_מושקע" dataDxfId="13" data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12">
      <calculatedColumnFormula>VLOOKUP(A4,'מחירים שוק חופשי'!B:F,5,0)-F4</calculatedColumnFormula>
    </tableColumn>
    <tableColumn id="15" xr3:uid="{3BE5CAAB-4EFB-42F3-992B-F568F7FCC97F}" name="מחיר לאחר_x000a_ההנחה ומענק" dataDxfId="11" dataCellStyle="Comma"/>
    <tableColumn id="14" xr3:uid="{B769BE86-15FA-4F22-96E9-EA2CF6DFE71F}" name="הון עצמי_x000a_הנדרש" dataDxfId="10" dataCellStyle="Comma">
      <calculatedColumnFormula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calculatedColumnFormula>
    </tableColumn>
    <tableColumn id="17" xr3:uid="{46F7BD13-5089-4115-A549-E60ECDD0CA51}" name="החזר חודשי  המקסימלי" dataDxfId="9" dataCellStyle="Comma">
      <calculatedColumnFormula>(טבלה1[[#This Row],[מחיר לאחר
ההנחה ומענק]]-טבלה1[[#This Row],[הון עצמי
הנדרש]])/100000*530</calculatedColumnFormula>
    </tableColumn>
    <tableColumn id="13" xr3:uid="{35DF3AA3-851B-4289-89CE-FAEDE57F0111}" name="רווח_x000a_באחוזים_x000a_לכל שקל_x000a_מושקע" dataDxfId="8" dataCellStyle="Percent">
      <calculatedColumnFormula>O4/K4</calculatedColumnFormula>
    </tableColumn>
    <tableColumn id="12" xr3:uid="{4CA75AD2-A15D-4D8F-B1B9-F18E7AA8D207}" name="רווח_x000a_לעומת_x000a_מחיר_x000a_השוק" dataDxfId="7" dataCellStyle="Comma">
      <calculatedColumnFormula>VLOOKUP(A4,'מחירים שוק חופשי'!B:G,6,0)-K4</calculatedColumnFormula>
    </tableColumn>
    <tableColumn id="22" xr3:uid="{E0057D38-334A-4E3C-87ED-E17D98193BA7}" name="המחיר לאחר_x000a_ההנחה ומענק" dataDxfId="6" dataCellStyle="Comma"/>
    <tableColumn id="20" xr3:uid="{813ED081-F28F-4830-98C6-213878E96D0A}" name="הון העצמי_x000a_הנדרש" dataDxfId="5" dataCellStyle="Comma">
      <calculatedColumnFormula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calculatedColumnFormula>
    </tableColumn>
    <tableColumn id="21" xr3:uid="{0B868E7B-3857-4839-8128-FDDFBDC148C1}" name="החזר החודשי_x000a_המקסימלי" dataDxfId="4" dataCellStyle="Comma">
      <calculatedColumnFormula>(טבלה1[[#This Row],[המחיר לאחר
ההנחה ומענק]]-טבלה1[[#This Row],[הון העצמי
הנדרש]])/100000*530</calculatedColumnFormula>
    </tableColumn>
    <tableColumn id="18" xr3:uid="{D0C6ED60-878A-4DFF-BEEC-6946930BD75A}" name="הרווח_x000a_באחוזים_x000a_לכל ₪_x000a_מושקע" dataDxfId="3" dataCellStyle="Percent">
      <calculatedColumnFormula>טבלה1[[#This Row],[הרווח
לעומת
מחיר
השוק]]/טבלה1[[#This Row],[המחיר לאחר
ההנחה ומענק]]</calculatedColumnFormula>
    </tableColumn>
    <tableColumn id="19" xr3:uid="{F896141F-A441-4400-9BBC-440BC13ADCD4}" name="הרווח_x000a_לעומת_x000a_מחיר_x000a_השוק" dataDxfId="2" dataCellStyle="Comma">
      <calculatedColumnFormula>VLOOKUP(A4,'מחירים שוק חופשי'!B:H,7,0)-טבלה1[[#This Row],[המחיר לאחר
ההנחה ומענק]]</calculatedColumnFormula>
    </tableColumn>
    <tableColumn id="7" xr3:uid="{A5FECCDB-18D1-46CB-83B1-E8DE2C4AB587}" name="מענק" dataDxfId="1" dataCellStyle="Comma"/>
    <tableColumn id="11" xr3:uid="{87541284-FEA1-40BC-BC45-D6B575FE4838}" name="הערכת_x000a_סיכוי_x000a_זכייה_x000a_לחיצוני" dataDxfId="0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W48"/>
  <sheetViews>
    <sheetView rightToLeft="1" tabSelected="1" zoomScale="70" zoomScaleNormal="70" workbookViewId="0">
      <selection activeCell="P12" sqref="P12"/>
    </sheetView>
  </sheetViews>
  <sheetFormatPr defaultColWidth="8.75" defaultRowHeight="15"/>
  <cols>
    <col min="1" max="1" width="20.25" style="118" bestFit="1" customWidth="1"/>
    <col min="2" max="2" width="13.375" style="4" bestFit="1" customWidth="1"/>
    <col min="3" max="3" width="16.375" style="4" bestFit="1" customWidth="1"/>
    <col min="4" max="5" width="11.5" style="4" bestFit="1" customWidth="1"/>
    <col min="6" max="6" width="15.5" style="5" bestFit="1" customWidth="1"/>
    <col min="7" max="7" width="12.5" style="80" bestFit="1" customWidth="1"/>
    <col min="8" max="8" width="15.125" style="4" bestFit="1" customWidth="1"/>
    <col min="9" max="9" width="12.625" style="6" bestFit="1" customWidth="1"/>
    <col min="10" max="10" width="11.375" style="4" bestFit="1" customWidth="1"/>
    <col min="11" max="11" width="16.5" style="4" bestFit="1" customWidth="1"/>
    <col min="12" max="12" width="12.5" style="4" bestFit="1" customWidth="1"/>
    <col min="13" max="13" width="16.25" style="4" bestFit="1" customWidth="1"/>
    <col min="14" max="14" width="13.125" style="4" bestFit="1" customWidth="1"/>
    <col min="15" max="15" width="11.875" style="4" bestFit="1" customWidth="1"/>
    <col min="16" max="16" width="16.5" style="4" bestFit="1" customWidth="1"/>
    <col min="17" max="17" width="13.5" style="4" bestFit="1" customWidth="1"/>
    <col min="18" max="18" width="16.25" style="4" bestFit="1" customWidth="1"/>
    <col min="19" max="19" width="12.625" style="4" bestFit="1" customWidth="1"/>
    <col min="20" max="20" width="11.875" style="4" bestFit="1" customWidth="1"/>
    <col min="21" max="21" width="10.625" style="4" hidden="1" customWidth="1"/>
    <col min="22" max="22" width="11" style="76" customWidth="1"/>
    <col min="23" max="23" width="17.375" style="7" customWidth="1"/>
    <col min="24" max="16384" width="8.75" style="4"/>
  </cols>
  <sheetData>
    <row r="1" spans="1:23" s="1" customFormat="1" ht="23.25" customHeight="1" thickBot="1">
      <c r="A1" s="65">
        <v>1</v>
      </c>
      <c r="B1" s="64">
        <v>2</v>
      </c>
      <c r="C1" s="130">
        <v>3</v>
      </c>
      <c r="D1" s="131"/>
      <c r="E1" s="131"/>
      <c r="F1" s="65">
        <v>4</v>
      </c>
      <c r="G1" s="77">
        <v>5</v>
      </c>
      <c r="H1" s="61">
        <v>6</v>
      </c>
      <c r="I1" s="130">
        <v>7</v>
      </c>
      <c r="J1" s="140"/>
      <c r="K1" s="75">
        <v>4</v>
      </c>
      <c r="L1" s="61">
        <v>5</v>
      </c>
      <c r="M1" s="61">
        <v>6</v>
      </c>
      <c r="N1" s="130">
        <v>7</v>
      </c>
      <c r="O1" s="140"/>
      <c r="P1" s="75">
        <v>4</v>
      </c>
      <c r="Q1" s="61">
        <v>5</v>
      </c>
      <c r="R1" s="61">
        <v>6</v>
      </c>
      <c r="S1" s="130">
        <v>7</v>
      </c>
      <c r="T1" s="140"/>
      <c r="U1" s="62">
        <v>8</v>
      </c>
      <c r="V1" s="61">
        <v>9</v>
      </c>
    </row>
    <row r="2" spans="1:23" s="9" customFormat="1" ht="50.25" customHeight="1" thickBot="1">
      <c r="A2" s="136"/>
      <c r="B2" s="137"/>
      <c r="C2" s="137"/>
      <c r="D2" s="137"/>
      <c r="E2" s="138"/>
      <c r="F2" s="132" t="s">
        <v>12</v>
      </c>
      <c r="G2" s="133"/>
      <c r="H2" s="133"/>
      <c r="I2" s="133"/>
      <c r="J2" s="134"/>
      <c r="K2" s="135" t="s">
        <v>90</v>
      </c>
      <c r="L2" s="133"/>
      <c r="M2" s="133"/>
      <c r="N2" s="133"/>
      <c r="O2" s="134"/>
      <c r="P2" s="141" t="s">
        <v>80</v>
      </c>
      <c r="Q2" s="142"/>
      <c r="R2" s="142"/>
      <c r="S2" s="142"/>
      <c r="T2" s="143"/>
      <c r="U2" s="136"/>
      <c r="V2" s="139"/>
    </row>
    <row r="3" spans="1:23" s="99" customFormat="1" ht="66" customHeight="1">
      <c r="A3" s="122" t="s">
        <v>6</v>
      </c>
      <c r="B3" s="123" t="s">
        <v>9</v>
      </c>
      <c r="C3" s="123" t="s">
        <v>89</v>
      </c>
      <c r="D3" s="123" t="s">
        <v>94</v>
      </c>
      <c r="E3" s="124" t="s">
        <v>77</v>
      </c>
      <c r="F3" s="125" t="s">
        <v>76</v>
      </c>
      <c r="G3" s="123" t="s">
        <v>85</v>
      </c>
      <c r="H3" s="123" t="s">
        <v>84</v>
      </c>
      <c r="I3" s="123" t="s">
        <v>91</v>
      </c>
      <c r="J3" s="124" t="s">
        <v>4</v>
      </c>
      <c r="K3" s="126" t="s">
        <v>83</v>
      </c>
      <c r="L3" s="123" t="s">
        <v>82</v>
      </c>
      <c r="M3" s="123" t="s">
        <v>75</v>
      </c>
      <c r="N3" s="123" t="s">
        <v>92</v>
      </c>
      <c r="O3" s="127" t="s">
        <v>52</v>
      </c>
      <c r="P3" s="126" t="s">
        <v>86</v>
      </c>
      <c r="Q3" s="123" t="s">
        <v>87</v>
      </c>
      <c r="R3" s="123" t="s">
        <v>88</v>
      </c>
      <c r="S3" s="123" t="s">
        <v>93</v>
      </c>
      <c r="T3" s="127" t="s">
        <v>81</v>
      </c>
      <c r="U3" s="128" t="s">
        <v>5</v>
      </c>
      <c r="V3" s="129" t="s">
        <v>95</v>
      </c>
    </row>
    <row r="4" spans="1:23" ht="26.1" customHeight="1">
      <c r="A4" s="119" t="s">
        <v>31</v>
      </c>
      <c r="B4" s="8">
        <v>5</v>
      </c>
      <c r="C4" s="100">
        <f>טבלה1[[#This Row],[מתוכם
דירות
לכלל
הציבור]]+טבלה1[[#This Row],[מתוכם
דירות
לבני
מקום]]</f>
        <v>77</v>
      </c>
      <c r="D4" s="53">
        <v>54</v>
      </c>
      <c r="E4" s="52">
        <v>23</v>
      </c>
      <c r="F4" s="12">
        <v>861000</v>
      </c>
      <c r="G4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11">
        <f>(טבלה1[[#This Row],[מחיר לאחר
הנחה ומענק]]-טבלה1[[#This Row],[הון עצמי
נדרש]])/100000*530</f>
        <v>4033.3</v>
      </c>
      <c r="I4" s="10">
        <f>טבלה1[[#This Row],[רווח
לעומת
מחיר
שוק]]/F4</f>
        <v>0.57621370499419278</v>
      </c>
      <c r="J4" s="97">
        <f>VLOOKUP(A4,'מחירים שוק חופשי'!B:F,5,0)-F4</f>
        <v>496120</v>
      </c>
      <c r="K4" s="12">
        <v>1186836</v>
      </c>
      <c r="L4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4" s="11">
        <f>(טבלה1[[#This Row],[מחיר לאחר
ההנחה ומענק]]-טבלה1[[#This Row],[הון עצמי
הנדרש]])/100000*530</f>
        <v>5760.2307999999994</v>
      </c>
      <c r="N4" s="10">
        <f>O4/K4</f>
        <v>0.42934659885611831</v>
      </c>
      <c r="O4" s="13">
        <f>VLOOKUP(A4,'מחירים שוק חופשי'!B:G,6,0)-K4</f>
        <v>509564</v>
      </c>
      <c r="P4" s="103">
        <v>1630000</v>
      </c>
      <c r="Q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280000</v>
      </c>
      <c r="R4" s="103">
        <f>(טבלה1[[#This Row],[המחיר לאחר
ההנחה ומענק]]-טבלה1[[#This Row],[הון העצמי
הנדרש]])/100000*530</f>
        <v>7155</v>
      </c>
      <c r="S4" s="107">
        <f>טבלה1[[#This Row],[הרווח
לעומת
מחיר
השוק]]/טבלה1[[#This Row],[המחיר לאחר
ההנחה ומענק]]</f>
        <v>0.30092024539877299</v>
      </c>
      <c r="T4" s="114">
        <f>VLOOKUP(A4,'מחירים שוק חופשי'!B:H,7,0)-טבלה1[[#This Row],[המחיר לאחר
ההנחה ומענק]]</f>
        <v>490500</v>
      </c>
      <c r="U4" s="96"/>
      <c r="V4" s="147">
        <v>2.3999999999999998E-3</v>
      </c>
      <c r="W4" s="4"/>
    </row>
    <row r="5" spans="1:23" ht="26.1" customHeight="1">
      <c r="A5" s="119" t="s">
        <v>59</v>
      </c>
      <c r="B5" s="8">
        <v>16</v>
      </c>
      <c r="C5" s="100">
        <f>טבלה1[[#This Row],[מתוכם
דירות
לכלל
הציבור]]+טבלה1[[#This Row],[מתוכם
דירות
לבני
מקום]]</f>
        <v>530</v>
      </c>
      <c r="D5" s="53">
        <v>365</v>
      </c>
      <c r="E5" s="52">
        <v>165</v>
      </c>
      <c r="F5" s="12">
        <v>1556500</v>
      </c>
      <c r="G5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206500</v>
      </c>
      <c r="H5" s="11">
        <f>(טבלה1[[#This Row],[מחיר לאחר
הנחה ומענק]]-טבלה1[[#This Row],[הון עצמי
נדרש]])/100000*530</f>
        <v>7155</v>
      </c>
      <c r="I5" s="10">
        <f>טבלה1[[#This Row],[רווח
לעומת
מחיר
שוק]]/F5</f>
        <v>0.27113395438483778</v>
      </c>
      <c r="J5" s="97">
        <f>VLOOKUP(A5,'מחירים שוק חופשי'!B:F,5,0)-F5</f>
        <v>422020</v>
      </c>
      <c r="K5" s="63">
        <v>1920995</v>
      </c>
      <c r="L5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480248.75</v>
      </c>
      <c r="M5" s="11">
        <f>(טבלה1[[#This Row],[מחיר לאחר
ההנחה ומענק]]-טבלה1[[#This Row],[הון עצמי
הנדרש]])/100000*530</f>
        <v>7635.9551249999995</v>
      </c>
      <c r="N5" s="10">
        <f t="shared" ref="N5:N25" si="0">O5/K5</f>
        <v>0.28743177363814065</v>
      </c>
      <c r="O5" s="13">
        <f>VLOOKUP(A5,'מחירים שוק חופשי'!B:G,6,0)-K5</f>
        <v>552155</v>
      </c>
      <c r="P5" s="103">
        <v>2415000</v>
      </c>
      <c r="Q5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603750</v>
      </c>
      <c r="R5" s="103">
        <f>(טבלה1[[#This Row],[המחיר לאחר
ההנחה ומענק]]-טבלה1[[#This Row],[הון העצמי
הנדרש]])/100000*530</f>
        <v>9599.625</v>
      </c>
      <c r="S5" s="107">
        <f>טבלה1[[#This Row],[הרווח
לעומת
מחיר
השוק]]/טבלה1[[#This Row],[המחיר לאחר
ההנחה ומענק]]</f>
        <v>0.28009834368530023</v>
      </c>
      <c r="T5" s="114">
        <f>VLOOKUP(A5,'מחירים שוק חופשי'!B:H,7,0)-טבלה1[[#This Row],[המחיר לאחר
ההנחה ומענק]]</f>
        <v>676437.5</v>
      </c>
      <c r="U5" s="96"/>
      <c r="V5" s="147">
        <v>7.7999999999999996E-3</v>
      </c>
      <c r="W5" s="4"/>
    </row>
    <row r="6" spans="1:23" ht="26.1" customHeight="1">
      <c r="A6" s="119" t="s">
        <v>19</v>
      </c>
      <c r="B6" s="8">
        <v>3</v>
      </c>
      <c r="C6" s="100">
        <f>טבלה1[[#This Row],[מתוכם
דירות
לכלל
הציבור]]+טבלה1[[#This Row],[מתוכם
דירות
לבני
מקום]]</f>
        <v>131</v>
      </c>
      <c r="D6" s="53">
        <v>90</v>
      </c>
      <c r="E6" s="52">
        <v>41</v>
      </c>
      <c r="F6" s="12">
        <v>745000</v>
      </c>
      <c r="G6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11">
        <f>(טבלה1[[#This Row],[מחיר לאחר
הנחה ומענק]]-טבלה1[[#This Row],[הון עצמי
נדרש]])/100000*530</f>
        <v>3418.5</v>
      </c>
      <c r="I6" s="10">
        <f>טבלה1[[#This Row],[רווח
לעומת
מחיר
שוק]]/F6</f>
        <v>0.55710067114093964</v>
      </c>
      <c r="J6" s="97">
        <f>VLOOKUP(A6,'מחירים שוק חופשי'!B:F,5,0)-F6</f>
        <v>415040</v>
      </c>
      <c r="K6" s="12">
        <v>1014665</v>
      </c>
      <c r="L6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6" s="11">
        <f>(טבלה1[[#This Row],[מחיר לאחר
ההנחה ומענק]]-טבלה1[[#This Row],[הון עצמי
הנדרש]])/100000*530</f>
        <v>4847.7244999999994</v>
      </c>
      <c r="N6" s="10">
        <f t="shared" si="0"/>
        <v>0.42909236053278671</v>
      </c>
      <c r="O6" s="13">
        <f>VLOOKUP(A6,'מחירים שוק חופשי'!B:G,6,0)-K6</f>
        <v>435385</v>
      </c>
      <c r="P6" s="103">
        <v>1419000</v>
      </c>
      <c r="Q6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6" s="103">
        <f>(טבלה1[[#This Row],[המחיר לאחר
ההנחה ומענק]]-טבלה1[[#This Row],[הון העצמי
הנדרש]])/100000*530</f>
        <v>6990.7</v>
      </c>
      <c r="S6" s="107">
        <f>טבלה1[[#This Row],[הרווח
לעומת
מחיר
השוק]]/טבלה1[[#This Row],[המחיר לאחר
ההנחה ומענק]]</f>
        <v>0.27735200845665964</v>
      </c>
      <c r="T6" s="114">
        <f>VLOOKUP(A6,'מחירים שוק חופשי'!B:H,7,0)-טבלה1[[#This Row],[המחיר לאחר
ההנחה ומענק]]</f>
        <v>393562.5</v>
      </c>
      <c r="U6" s="96"/>
      <c r="V6" s="147">
        <v>8.0000000000000002E-3</v>
      </c>
      <c r="W6" s="4"/>
    </row>
    <row r="7" spans="1:23" ht="26.1" customHeight="1">
      <c r="A7" s="119" t="s">
        <v>41</v>
      </c>
      <c r="B7" s="8">
        <v>4</v>
      </c>
      <c r="C7" s="100">
        <f>טבלה1[[#This Row],[מתוכם
דירות
לכלל
הציבור]]+טבלה1[[#This Row],[מתוכם
דירות
לבני
מקום]]</f>
        <v>123</v>
      </c>
      <c r="D7" s="53">
        <v>84</v>
      </c>
      <c r="E7" s="52">
        <v>39</v>
      </c>
      <c r="F7" s="12">
        <v>1218500</v>
      </c>
      <c r="G7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11">
        <f>(טבלה1[[#This Row],[מחיר לאחר
הנחה ומענק]]-טבלה1[[#This Row],[הון עצמי
נדרש]])/100000*530</f>
        <v>5928.05</v>
      </c>
      <c r="I7" s="10">
        <f>טבלה1[[#This Row],[רווח
לעומת
מחיר
שוק]]/F7</f>
        <v>0.4497825194911777</v>
      </c>
      <c r="J7" s="97">
        <f>VLOOKUP(A7,'מחירים שוק חופשי'!B:F,5,0)-F7</f>
        <v>548060</v>
      </c>
      <c r="K7" s="12">
        <v>1590579</v>
      </c>
      <c r="L7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240579</v>
      </c>
      <c r="M7" s="11">
        <f>(טבלה1[[#This Row],[מחיר לאחר
ההנחה ומענק]]-טבלה1[[#This Row],[הון עצמי
הנדרש]])/100000*530</f>
        <v>7155</v>
      </c>
      <c r="N7" s="10">
        <f t="shared" si="0"/>
        <v>0.38829948088086164</v>
      </c>
      <c r="O7" s="13">
        <f>VLOOKUP(A7,'מחירים שוק חופשי'!B:G,6,0)-K7</f>
        <v>617621</v>
      </c>
      <c r="P7" s="103">
        <v>1988000</v>
      </c>
      <c r="Q7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497000</v>
      </c>
      <c r="R7" s="103">
        <f>(טבלה1[[#This Row],[המחיר לאחר
ההנחה ומענק]]-טבלה1[[#This Row],[הון העצמי
הנדרש]])/100000*530</f>
        <v>7902.3</v>
      </c>
      <c r="S7" s="107">
        <f>טבלה1[[#This Row],[הרווח
לעומת
מחיר
השוק]]/טבלה1[[#This Row],[המחיר לאחר
ההנחה ומענק]]</f>
        <v>0.38845573440643866</v>
      </c>
      <c r="T7" s="114">
        <f>VLOOKUP(A7,'מחירים שוק חופשי'!B:H,7,0)-טבלה1[[#This Row],[המחיר לאחר
ההנחה ומענק]]</f>
        <v>772250</v>
      </c>
      <c r="U7" s="96"/>
      <c r="V7" s="147">
        <v>8.6999999999999994E-3</v>
      </c>
      <c r="W7" s="4"/>
    </row>
    <row r="8" spans="1:23" ht="26.1" customHeight="1">
      <c r="A8" s="119" t="s">
        <v>13</v>
      </c>
      <c r="B8" s="8">
        <v>14</v>
      </c>
      <c r="C8" s="100">
        <f>טבלה1[[#This Row],[מתוכם
דירות
לכלל
הציבור]]+טבלה1[[#This Row],[מתוכם
דירות
לבני
מקום]]</f>
        <v>20</v>
      </c>
      <c r="D8" s="53">
        <v>12</v>
      </c>
      <c r="E8" s="52">
        <v>8</v>
      </c>
      <c r="F8" s="12">
        <v>519500</v>
      </c>
      <c r="G8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11">
        <f>(טבלה1[[#This Row],[מחיר לאחר
הנחה ומענק]]-טבלה1[[#This Row],[הון עצמי
נדרש]])/100000*530</f>
        <v>2223.3500000000004</v>
      </c>
      <c r="I8" s="10">
        <f>טבלה1[[#This Row],[רווח
לעומת
מחיר
שוק]]/F8</f>
        <v>0.71503368623676611</v>
      </c>
      <c r="J8" s="97">
        <f>VLOOKUP(A8,'מחירים שוק חופשי'!B:F,5,0)-F8</f>
        <v>371460</v>
      </c>
      <c r="K8" s="12">
        <v>637519</v>
      </c>
      <c r="L8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8" s="11">
        <f>(טבלה1[[#This Row],[מחיר לאחר
ההנחה ומענק]]-טבלה1[[#This Row],[הון עצמי
הנדרש]])/100000*530</f>
        <v>2848.8507</v>
      </c>
      <c r="N8" s="10">
        <f t="shared" si="0"/>
        <v>0.74692832684202348</v>
      </c>
      <c r="O8" s="13">
        <f>VLOOKUP(A8,'מחירים שוק חופשי'!B:G,6,0)-K8</f>
        <v>476181</v>
      </c>
      <c r="P8" s="103">
        <v>881500</v>
      </c>
      <c r="Q8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8" s="103">
        <f>(טבלה1[[#This Row],[המחיר לאחר
ההנחה ומענק]]-טבלה1[[#This Row],[הון העצמי
הנדרש]])/100000*530</f>
        <v>4141.95</v>
      </c>
      <c r="S8" s="107">
        <f>טבלה1[[#This Row],[הרווח
לעומת
מחיר
השוק]]/טבלה1[[#This Row],[המחיר לאחר
ההנחה ומענק]]</f>
        <v>0.57926829268292679</v>
      </c>
      <c r="T8" s="114">
        <f>VLOOKUP(A8,'מחירים שוק חופשי'!B:H,7,0)-טבלה1[[#This Row],[המחיר לאחר
ההנחה ומענק]]</f>
        <v>510625</v>
      </c>
      <c r="U8" s="96"/>
      <c r="V8" s="147">
        <v>3.5000000000000001E-3</v>
      </c>
      <c r="W8" s="4"/>
    </row>
    <row r="9" spans="1:23" ht="26.1" customHeight="1">
      <c r="A9" s="119" t="s">
        <v>60</v>
      </c>
      <c r="B9" s="8">
        <v>11</v>
      </c>
      <c r="C9" s="100">
        <f>טבלה1[[#This Row],[מתוכם
דירות
לכלל
הציבור]]+טבלה1[[#This Row],[מתוכם
דירות
לבני
מקום]]</f>
        <v>63</v>
      </c>
      <c r="D9" s="53">
        <v>37</v>
      </c>
      <c r="E9" s="52">
        <v>26</v>
      </c>
      <c r="F9" s="12">
        <v>622500</v>
      </c>
      <c r="G9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11">
        <f>(טבלה1[[#This Row],[מחיר לאחר
הנחה ומענק]]-טבלה1[[#This Row],[הון עצמי
נדרש]])/100000*530</f>
        <v>2769.25</v>
      </c>
      <c r="I9" s="10">
        <f>טבלה1[[#This Row],[רווח
לעומת
מחיר
שוק]]/F9</f>
        <v>0.66130120481927712</v>
      </c>
      <c r="J9" s="97">
        <f>VLOOKUP(A9,'מחירים שוק חופשי'!B:F,5,0)-F9</f>
        <v>411660</v>
      </c>
      <c r="K9" s="12">
        <v>764067</v>
      </c>
      <c r="L9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9" s="11">
        <f>(טבלה1[[#This Row],[מחיר לאחר
ההנחה ומענק]]-טבלה1[[#This Row],[הון עצמי
הנדרש]])/100000*530</f>
        <v>3519.5551</v>
      </c>
      <c r="N9" s="10">
        <f t="shared" si="0"/>
        <v>0.69186733624145524</v>
      </c>
      <c r="O9" s="13">
        <f>VLOOKUP(A9,'מחירים שוק חופשי'!B:G,6,0)-K9</f>
        <v>528633</v>
      </c>
      <c r="P9" s="103">
        <v>1027250</v>
      </c>
      <c r="Q9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9" s="103">
        <f>(טבלה1[[#This Row],[המחיר לאחר
ההנחה ומענק]]-טבלה1[[#This Row],[הון העצמי
הנדרש]])/100000*530</f>
        <v>4914.4250000000002</v>
      </c>
      <c r="S9" s="107">
        <f>טבלה1[[#This Row],[הרווח
לעומת
מחיר
השוק]]/טבלה1[[#This Row],[המחיר לאחר
ההנחה ומענק]]</f>
        <v>0.57301046483329277</v>
      </c>
      <c r="T9" s="114">
        <f>VLOOKUP(A9,'מחירים שוק חופשי'!B:H,7,0)-טבלה1[[#This Row],[המחיר לאחר
ההנחה ומענק]]</f>
        <v>588625</v>
      </c>
      <c r="U9" s="96"/>
      <c r="V9" s="147">
        <v>7.6E-3</v>
      </c>
      <c r="W9" s="4"/>
    </row>
    <row r="10" spans="1:23" ht="26.1" customHeight="1">
      <c r="A10" s="119" t="s">
        <v>61</v>
      </c>
      <c r="B10" s="8">
        <v>9</v>
      </c>
      <c r="C10" s="100">
        <f>טבלה1[[#This Row],[מתוכם
דירות
לכלל
הציבור]]+טבלה1[[#This Row],[מתוכם
דירות
לבני
מקום]]</f>
        <v>458</v>
      </c>
      <c r="D10" s="53">
        <v>313</v>
      </c>
      <c r="E10" s="52">
        <v>145</v>
      </c>
      <c r="F10" s="12">
        <v>1310000</v>
      </c>
      <c r="G10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11">
        <f>(טבלה1[[#This Row],[מחיר לאחר
הנחה ומענק]]-טבלה1[[#This Row],[הון עצמי
נדרש]])/100000*530</f>
        <v>6413</v>
      </c>
      <c r="I10" s="10">
        <f>טבלה1[[#This Row],[רווח
לעומת
מחיר
שוק]]/F10</f>
        <v>0.36519083969465649</v>
      </c>
      <c r="J10" s="97">
        <f>VLOOKUP(A10,'מחירים שוק חופשי'!B:F,5,0)-F10</f>
        <v>478400</v>
      </c>
      <c r="K10" s="12">
        <v>1700000</v>
      </c>
      <c r="L10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350000</v>
      </c>
      <c r="M10" s="11">
        <f>(טבלה1[[#This Row],[מחיר לאחר
ההנחה ומענק]]-טבלה1[[#This Row],[הון עצמי
הנדרש]])/100000*530</f>
        <v>7155</v>
      </c>
      <c r="N10" s="10">
        <f t="shared" si="0"/>
        <v>0.315</v>
      </c>
      <c r="O10" s="13">
        <f>VLOOKUP(A10,'מחירים שוק חופשי'!B:G,6,0)-K10</f>
        <v>535500</v>
      </c>
      <c r="P10" s="103">
        <v>2280000</v>
      </c>
      <c r="Q10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570000</v>
      </c>
      <c r="R10" s="103">
        <f>(טבלה1[[#This Row],[המחיר לאחר
ההנחה ומענק]]-טבלה1[[#This Row],[הון העצמי
הנדרש]])/100000*530</f>
        <v>9063</v>
      </c>
      <c r="S10" s="107">
        <f>טבלה1[[#This Row],[הרווח
לעומת
מחיר
השוק]]/טבלה1[[#This Row],[המחיר לאחר
ההנחה ומענק]]</f>
        <v>0.2256030701754386</v>
      </c>
      <c r="T10" s="114">
        <f>VLOOKUP(A10,'מחירים שוק חופשי'!B:H,7,0)-טבלה1[[#This Row],[המחיר לאחר
ההנחה ומענק]]</f>
        <v>514375</v>
      </c>
      <c r="U10" s="96"/>
      <c r="V10" s="147">
        <v>1.01E-2</v>
      </c>
      <c r="W10" s="4"/>
    </row>
    <row r="11" spans="1:23" ht="26.1" customHeight="1">
      <c r="A11" s="119" t="s">
        <v>43</v>
      </c>
      <c r="B11" s="8">
        <v>15</v>
      </c>
      <c r="C11" s="100">
        <f>טבלה1[[#This Row],[מתוכם
דירות
לכלל
הציבור]]+טבלה1[[#This Row],[מתוכם
דירות
לבני
מקום]]</f>
        <v>74</v>
      </c>
      <c r="D11" s="53">
        <v>51</v>
      </c>
      <c r="E11" s="52">
        <v>23</v>
      </c>
      <c r="F11" s="12">
        <v>2157000</v>
      </c>
      <c r="G11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11">
        <f>(טבלה1[[#This Row],[מחיר לאחר
הנחה ומענק]]-טבלה1[[#This Row],[הון עצמי
נדרש]])/100000*530</f>
        <v>8574.0749999999989</v>
      </c>
      <c r="I11" s="10">
        <f>טבלה1[[#This Row],[רווח
לעומת
מחיר
שוק]]/F11</f>
        <v>0.12778859527121</v>
      </c>
      <c r="J11" s="97">
        <f>VLOOKUP(A11,'מחירים שוק חופשי'!B:F,5,0)-F11</f>
        <v>275640</v>
      </c>
      <c r="K11" s="12">
        <v>2629215</v>
      </c>
      <c r="L11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657303.75</v>
      </c>
      <c r="M11" s="11">
        <f>(טבלה1[[#This Row],[מחיר לאחר
ההנחה ומענק]]-טבלה1[[#This Row],[הון עצמי
הנדרש]])/100000*530</f>
        <v>10451.129625000001</v>
      </c>
      <c r="N11" s="10">
        <f t="shared" si="0"/>
        <v>0.1565429225072883</v>
      </c>
      <c r="O11" s="13">
        <f>VLOOKUP(A11,'מחירים שוק חופשי'!B:G,6,0)-K11</f>
        <v>411585</v>
      </c>
      <c r="P11" s="103">
        <v>3301125</v>
      </c>
      <c r="Q11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825281.25</v>
      </c>
      <c r="R11" s="103">
        <f>(טבלה1[[#This Row],[המחיר לאחר
ההנחה ומענק]]-טבלה1[[#This Row],[הון העצמי
הנדרש]])/100000*530</f>
        <v>13121.971874999999</v>
      </c>
      <c r="S11" s="107">
        <f>טבלה1[[#This Row],[הרווח
לעומת
מחיר
השוק]]/טבלה1[[#This Row],[המחיר לאחר
ההנחה ומענק]]</f>
        <v>0.15142565034647279</v>
      </c>
      <c r="T11" s="114">
        <f>VLOOKUP(A11,'מחירים שוק חופשי'!B:H,7,0)-טבלה1[[#This Row],[המחיר לאחר
ההנחה ומענק]]</f>
        <v>499875</v>
      </c>
      <c r="U11" s="96"/>
      <c r="V11" s="147">
        <v>6.7000000000000002E-3</v>
      </c>
      <c r="W11" s="4"/>
    </row>
    <row r="12" spans="1:23" ht="26.1" customHeight="1">
      <c r="A12" s="119" t="s">
        <v>62</v>
      </c>
      <c r="B12" s="8">
        <v>1</v>
      </c>
      <c r="C12" s="100">
        <f>טבלה1[[#This Row],[מתוכם
דירות
לכלל
הציבור]]+טבלה1[[#This Row],[מתוכם
דירות
לבני
מקום]]</f>
        <v>164</v>
      </c>
      <c r="D12" s="53">
        <v>112</v>
      </c>
      <c r="E12" s="52">
        <v>52</v>
      </c>
      <c r="F12" s="12">
        <v>1659000</v>
      </c>
      <c r="G12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309000</v>
      </c>
      <c r="H12" s="11">
        <f>(טבלה1[[#This Row],[מחיר לאחר
הנחה ומענק]]-טבלה1[[#This Row],[הון עצמי
נדרש]])/100000*530</f>
        <v>7155</v>
      </c>
      <c r="I12" s="10">
        <f>טבלה1[[#This Row],[רווח
לעומת
מחיר
שוק]]/F12</f>
        <v>0.41203134418324294</v>
      </c>
      <c r="J12" s="97">
        <f>VLOOKUP(A12,'מחירים שוק חופשי'!B:F,5,0)-F12</f>
        <v>683560</v>
      </c>
      <c r="K12" s="12">
        <v>2036109</v>
      </c>
      <c r="L12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509027.25</v>
      </c>
      <c r="M12" s="11">
        <f>(טבלה1[[#This Row],[מחיר לאחר
ההנחה ומענק]]-טבלה1[[#This Row],[הון עצמי
הנדרש]])/100000*530</f>
        <v>8093.5332749999998</v>
      </c>
      <c r="N12" s="10">
        <f t="shared" si="0"/>
        <v>0.43813518824385139</v>
      </c>
      <c r="O12" s="13">
        <f>VLOOKUP(A12,'מחירים שוק חופשי'!B:G,6,0)-K12</f>
        <v>892091</v>
      </c>
      <c r="P12" s="103">
        <v>2545000</v>
      </c>
      <c r="Q12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636250</v>
      </c>
      <c r="R12" s="103">
        <f>(טבלה1[[#This Row],[המחיר לאחר
ההנחה ומענק]]-טבלה1[[#This Row],[הון העצמי
הנדרש]])/100000*530</f>
        <v>10116.375</v>
      </c>
      <c r="S12" s="107">
        <f>טבלה1[[#This Row],[הרווח
לעומת
מחיר
השוק]]/טבלה1[[#This Row],[המחיר לאחר
ההנחה ומענק]]</f>
        <v>0.43821218074656187</v>
      </c>
      <c r="T12" s="114">
        <f>VLOOKUP(A12,'מחירים שוק חופשי'!B:H,7,0)-טבלה1[[#This Row],[המחיר לאחר
ההנחה ומענק]]</f>
        <v>1115250</v>
      </c>
      <c r="U12" s="96"/>
      <c r="V12" s="147">
        <v>1.1599999999999999E-2</v>
      </c>
      <c r="W12" s="4"/>
    </row>
    <row r="13" spans="1:23" ht="26.1" customHeight="1">
      <c r="A13" s="119" t="s">
        <v>63</v>
      </c>
      <c r="B13" s="8">
        <v>1</v>
      </c>
      <c r="C13" s="100">
        <f>טבלה1[[#This Row],[מתוכם
דירות
לכלל
הציבור]]+טבלה1[[#This Row],[מתוכם
דירות
לבני
מקום]]</f>
        <v>29</v>
      </c>
      <c r="D13" s="53">
        <v>20</v>
      </c>
      <c r="E13" s="52">
        <v>9</v>
      </c>
      <c r="F13" s="12">
        <v>2284500</v>
      </c>
      <c r="G13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11">
        <f>(טבלה1[[#This Row],[מחיר לאחר
הנחה ומענק]]-טבלה1[[#This Row],[הון עצמי
נדרש]])/100000*530</f>
        <v>9080.8874999999989</v>
      </c>
      <c r="I13" s="10">
        <f>טבלה1[[#This Row],[רווח
לעומת
מחיר
שוק]]/F13</f>
        <v>0.3062639527248851</v>
      </c>
      <c r="J13" s="97">
        <f>VLOOKUP(A13,'מחירים שוק חופשי'!B:F,5,0)-F13</f>
        <v>699660</v>
      </c>
      <c r="K13" s="12">
        <v>2803680</v>
      </c>
      <c r="L13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700920</v>
      </c>
      <c r="M13" s="11">
        <f>(טבלה1[[#This Row],[מחיר לאחר
ההנחה ומענק]]-טבלה1[[#This Row],[הון עצמי
הנדרש]])/100000*530</f>
        <v>11144.628000000001</v>
      </c>
      <c r="N13" s="10">
        <f t="shared" si="0"/>
        <v>0.33046567368601265</v>
      </c>
      <c r="O13" s="13">
        <f>VLOOKUP(A13,'מחירים שוק חופשי'!B:G,6,0)-K13</f>
        <v>926520</v>
      </c>
      <c r="P13" s="103">
        <v>3504600</v>
      </c>
      <c r="Q13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876150</v>
      </c>
      <c r="R13" s="103">
        <f>(טבלה1[[#This Row],[המחיר לאחר
ההנחה ומענק]]-טבלה1[[#This Row],[הון העצמי
הנדרש]])/100000*530</f>
        <v>13930.785</v>
      </c>
      <c r="S13" s="107">
        <f>טבלה1[[#This Row],[הרווח
לעומת
מחיר
השוק]]/טבלה1[[#This Row],[המחיר לאחר
ההנחה ומענק]]</f>
        <v>0.33046567368601265</v>
      </c>
      <c r="T13" s="114">
        <f>VLOOKUP(A13,'מחירים שוק חופשי'!B:H,7,0)-טבלה1[[#This Row],[המחיר לאחר
ההנחה ומענק]]</f>
        <v>1158150</v>
      </c>
      <c r="U13" s="96"/>
      <c r="V13" s="147">
        <v>1.1599999999999999E-2</v>
      </c>
      <c r="W13" s="4"/>
    </row>
    <row r="14" spans="1:23" ht="26.1" customHeight="1">
      <c r="A14" s="119" t="s">
        <v>64</v>
      </c>
      <c r="B14" s="8">
        <v>19</v>
      </c>
      <c r="C14" s="100">
        <f>טבלה1[[#This Row],[מתוכם
דירות
לכלל
הציבור]]+טבלה1[[#This Row],[מתוכם
דירות
לבני
מקום]]</f>
        <v>59</v>
      </c>
      <c r="D14" s="53">
        <v>35</v>
      </c>
      <c r="E14" s="52">
        <v>24</v>
      </c>
      <c r="F14" s="12"/>
      <c r="G14" s="78"/>
      <c r="H14" s="11"/>
      <c r="I14" s="10"/>
      <c r="J14" s="97"/>
      <c r="K14" s="12"/>
      <c r="L14" s="11"/>
      <c r="M14" s="11"/>
      <c r="N14" s="10"/>
      <c r="O14" s="13"/>
      <c r="P14" s="103">
        <v>1611532</v>
      </c>
      <c r="Q1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261532</v>
      </c>
      <c r="R14" s="103">
        <f>(טבלה1[[#This Row],[המחיר לאחר
ההנחה ומענק]]-טבלה1[[#This Row],[הון העצמי
הנדרש]])/100000*530</f>
        <v>7155</v>
      </c>
      <c r="S14" s="107">
        <f>טבלה1[[#This Row],[הרווח
לעומת
מחיר
השוק]]/טבלה1[[#This Row],[המחיר לאחר
ההנחה ומענק]]</f>
        <v>0.23641851356349114</v>
      </c>
      <c r="T14" s="114">
        <f>VLOOKUP(A14,'מחירים שוק חופשי'!B:H,7,0)-טבלה1[[#This Row],[המחיר לאחר
ההנחה ומענק]]</f>
        <v>380996</v>
      </c>
      <c r="U14" s="96"/>
      <c r="V14" s="147">
        <v>1.3299999999999999E-2</v>
      </c>
      <c r="W14" s="4"/>
    </row>
    <row r="15" spans="1:23" ht="26.1" customHeight="1">
      <c r="A15" s="119" t="s">
        <v>66</v>
      </c>
      <c r="B15" s="8">
        <v>17</v>
      </c>
      <c r="C15" s="100">
        <f>טבלה1[[#This Row],[מתוכם
דירות
לכלל
הציבור]]+טבלה1[[#This Row],[מתוכם
דירות
לבני
מקום]]</f>
        <v>4</v>
      </c>
      <c r="D15" s="53">
        <v>2</v>
      </c>
      <c r="E15" s="52">
        <v>2</v>
      </c>
      <c r="F15" s="12"/>
      <c r="G15" s="78"/>
      <c r="H15" s="11"/>
      <c r="I15" s="10"/>
      <c r="J15" s="97"/>
      <c r="K15" s="12"/>
      <c r="L15" s="11"/>
      <c r="M15" s="11"/>
      <c r="N15" s="10"/>
      <c r="O15" s="13"/>
      <c r="P15" s="103">
        <v>1019631</v>
      </c>
      <c r="Q15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5" s="103">
        <f>(טבלה1[[#This Row],[המחיר לאחר
ההנחה ומענק]]-טבלה1[[#This Row],[הון העצמי
הנדרש]])/100000*530</f>
        <v>4874.0443000000005</v>
      </c>
      <c r="S15" s="107">
        <f>טבלה1[[#This Row],[הרווח
לעומת
מחיר
השוק]]/טבלה1[[#This Row],[המחיר לאחר
ההנחה ומענק]]</f>
        <v>0.51494756436397093</v>
      </c>
      <c r="T15" s="114">
        <f>VLOOKUP(A15,'מחירים שוק חופשי'!B:H,7,0)-טבלה1[[#This Row],[המחיר לאחר
ההנחה ומענק]]</f>
        <v>525056.5</v>
      </c>
      <c r="U15" s="96"/>
      <c r="V15" s="147">
        <v>4.4000000000000003E-3</v>
      </c>
    </row>
    <row r="16" spans="1:23" ht="26.1" customHeight="1">
      <c r="A16" s="119" t="s">
        <v>65</v>
      </c>
      <c r="B16" s="8">
        <v>20</v>
      </c>
      <c r="C16" s="100">
        <f>טבלה1[[#This Row],[מתוכם
דירות
לכלל
הציבור]]+טבלה1[[#This Row],[מתוכם
דירות
לבני
מקום]]</f>
        <v>44</v>
      </c>
      <c r="D16" s="53">
        <v>17</v>
      </c>
      <c r="E16" s="52">
        <v>27</v>
      </c>
      <c r="F16" s="12">
        <v>524911</v>
      </c>
      <c r="G16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11">
        <f>(טבלה1[[#This Row],[מחיר לאחר
הנחה ומענק]]-טבלה1[[#This Row],[הון עצמי
נדרש]])/100000*530</f>
        <v>2252.0282999999999</v>
      </c>
      <c r="I16" s="10">
        <f>טבלה1[[#This Row],[רווח
לעומת
מחיר
שוק]]/F16</f>
        <v>0.70025013764238131</v>
      </c>
      <c r="J16" s="97">
        <f>VLOOKUP(A16,'מחירים שוק חופשי'!B:F,5,0)-F16</f>
        <v>367569</v>
      </c>
      <c r="K16" s="12">
        <v>644209</v>
      </c>
      <c r="L16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6" s="11">
        <f>(טבלה1[[#This Row],[מחיר לאחר
ההנחה ומענק]]-טבלה1[[#This Row],[הון עצמי
הנדרש]])/100000*530</f>
        <v>2884.3077000000003</v>
      </c>
      <c r="N16" s="10">
        <f t="shared" si="0"/>
        <v>0.73173612911337782</v>
      </c>
      <c r="O16" s="13">
        <f>VLOOKUP(A16,'מחירים שוק חופשי'!B:G,6,0)-K16</f>
        <v>471391</v>
      </c>
      <c r="P16" s="103">
        <v>841000</v>
      </c>
      <c r="Q16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6" s="103">
        <f>(טבלה1[[#This Row],[המחיר לאחר
ההנחה ומענק]]-טבלה1[[#This Row],[הון העצמי
הנדרש]])/100000*530</f>
        <v>3927.3</v>
      </c>
      <c r="S16" s="107">
        <f>טבלה1[[#This Row],[הרווח
לעומת
מחיר
השוק]]/טבלה1[[#This Row],[המחיר לאחר
ההנחה ומענק]]</f>
        <v>0.65814506539833528</v>
      </c>
      <c r="T16" s="114">
        <f>VLOOKUP(A16,'מחירים שוק חופשי'!B:H,7,0)-טבלה1[[#This Row],[המחיר לאחר
ההנחה ומענק]]</f>
        <v>553500</v>
      </c>
      <c r="U16" s="96"/>
      <c r="V16" s="147">
        <v>2.9000000000000001E-2</v>
      </c>
    </row>
    <row r="17" spans="1:22" ht="26.1" customHeight="1">
      <c r="A17" s="119" t="s">
        <v>53</v>
      </c>
      <c r="B17" s="8">
        <v>13</v>
      </c>
      <c r="C17" s="100">
        <f>טבלה1[[#This Row],[מתוכם
דירות
לכלל
הציבור]]+טבלה1[[#This Row],[מתוכם
דירות
לבני
מקום]]</f>
        <v>348</v>
      </c>
      <c r="D17" s="53">
        <v>237</v>
      </c>
      <c r="E17" s="52">
        <v>111</v>
      </c>
      <c r="F17" s="12">
        <v>883159</v>
      </c>
      <c r="G17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11">
        <f>(טבלה1[[#This Row],[מחיר לאחר
הנחה ומענק]]-טבלה1[[#This Row],[הון עצמי
נדרש]])/100000*530</f>
        <v>4150.7426999999998</v>
      </c>
      <c r="I17" s="10">
        <f>טבלה1[[#This Row],[רווח
לעומת
מחיר
שוק]]/F17</f>
        <v>0.33253468514729512</v>
      </c>
      <c r="J17" s="97">
        <f>VLOOKUP(A17,'מחירים שוק חופשי'!B:F,5,0)-F17</f>
        <v>293681</v>
      </c>
      <c r="K17" s="12">
        <v>1083877</v>
      </c>
      <c r="L17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7" s="11">
        <f>(טבלה1[[#This Row],[מחיר לאחר
ההנחה ומענק]]-טבלה1[[#This Row],[הון עצמי
הנדרש]])/100000*530</f>
        <v>5214.5481</v>
      </c>
      <c r="N17" s="10">
        <f t="shared" si="0"/>
        <v>0.35721119647340061</v>
      </c>
      <c r="O17" s="13">
        <f>VLOOKUP(A17,'מחירים שוק חופשי'!B:G,6,0)-K17</f>
        <v>387173</v>
      </c>
      <c r="P17" s="103">
        <v>1400000</v>
      </c>
      <c r="Q17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7" s="103">
        <f>(טבלה1[[#This Row],[המחיר לאחר
ההנחה ומענק]]-טבלה1[[#This Row],[הון העצמי
הנדרש]])/100000*530</f>
        <v>6890</v>
      </c>
      <c r="S17" s="107">
        <f>טבלה1[[#This Row],[הרווח
לעומת
מחיר
השוק]]/טבלה1[[#This Row],[המחיר לאחר
ההנחה ומענק]]</f>
        <v>0.31343749999999998</v>
      </c>
      <c r="T17" s="114">
        <f>VLOOKUP(A17,'מחירים שוק חופשי'!B:H,7,0)-טבלה1[[#This Row],[המחיר לאחר
ההנחה ומענק]]</f>
        <v>438812.5</v>
      </c>
      <c r="U17" s="96"/>
      <c r="V17" s="147">
        <v>8.2600000000000007E-2</v>
      </c>
    </row>
    <row r="18" spans="1:22" ht="26.1" customHeight="1">
      <c r="A18" s="120" t="s">
        <v>68</v>
      </c>
      <c r="B18" s="8">
        <v>2</v>
      </c>
      <c r="C18" s="100">
        <f>טבלה1[[#This Row],[מתוכם
דירות
לכלל
הציבור]]+טבלה1[[#This Row],[מתוכם
דירות
לבני
מקום]]</f>
        <v>41</v>
      </c>
      <c r="D18" s="53">
        <v>28</v>
      </c>
      <c r="E18" s="52">
        <v>13</v>
      </c>
      <c r="F18" s="12">
        <v>1705350</v>
      </c>
      <c r="G18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355350</v>
      </c>
      <c r="H18" s="11">
        <f>(טבלה1[[#This Row],[מחיר לאחר
הנחה ומענק]]-טבלה1[[#This Row],[הון עצמי
נדרש]])/100000*530</f>
        <v>7155</v>
      </c>
      <c r="I18" s="10">
        <f>טבלה1[[#This Row],[רווח
לעומת
מחיר
שוק]]/F18</f>
        <v>0.35775060837951156</v>
      </c>
      <c r="J18" s="97">
        <f>VLOOKUP(A18,'מחירים שוק חופשי'!B:F,5,0)-F18</f>
        <v>610090</v>
      </c>
      <c r="K18" s="12">
        <v>2092947</v>
      </c>
      <c r="L18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523236.75</v>
      </c>
      <c r="M18" s="11">
        <f>(טבלה1[[#This Row],[מחיר לאחר
ההנחה ומענק]]-טבלה1[[#This Row],[הון עצמי
הנדרש]])/100000*530</f>
        <v>8319.464324999999</v>
      </c>
      <c r="N18" s="10">
        <f t="shared" si="0"/>
        <v>0.38288260524514001</v>
      </c>
      <c r="O18" s="13">
        <f>VLOOKUP(A18,'מחירים שוק חופשי'!B:G,6,0)-K18</f>
        <v>801353</v>
      </c>
      <c r="P18" s="103">
        <v>2616000</v>
      </c>
      <c r="Q18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654000</v>
      </c>
      <c r="R18" s="103">
        <f>(טבלה1[[#This Row],[המחיר לאחר
ההנחה ומענק]]-טבלה1[[#This Row],[הון העצמי
הנדרש]])/100000*530</f>
        <v>10398.6</v>
      </c>
      <c r="S18" s="107">
        <f>טבלה1[[#This Row],[הרווח
לעומת
מחיר
השוק]]/טבלה1[[#This Row],[המחיר לאחר
ההנחה ומענק]]</f>
        <v>0.38297974006116209</v>
      </c>
      <c r="T18" s="114">
        <f>VLOOKUP(A18,'מחירים שוק חופשי'!B:H,7,0)-טבלה1[[#This Row],[המחיר לאחר
ההנחה ומענק]]</f>
        <v>1001875</v>
      </c>
      <c r="U18" s="96"/>
      <c r="V18" s="147">
        <v>7.6E-3</v>
      </c>
    </row>
    <row r="19" spans="1:22" ht="26.1" customHeight="1">
      <c r="A19" s="120" t="s">
        <v>67</v>
      </c>
      <c r="B19" s="8">
        <v>2</v>
      </c>
      <c r="C19" s="100">
        <f>טבלה1[[#This Row],[מתוכם
דירות
לכלל
הציבור]]+טבלה1[[#This Row],[מתוכם
דירות
לבני
מקום]]</f>
        <v>212</v>
      </c>
      <c r="D19" s="53">
        <v>145</v>
      </c>
      <c r="E19" s="52">
        <v>67</v>
      </c>
      <c r="F19" s="12">
        <v>1500000</v>
      </c>
      <c r="G19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150000</v>
      </c>
      <c r="H19" s="11">
        <f>(טבלה1[[#This Row],[מחיר לאחר
הנחה ומענק]]-טבלה1[[#This Row],[הון עצמי
נדרש]])/100000*530</f>
        <v>7155</v>
      </c>
      <c r="I19" s="10">
        <f>טבלה1[[#This Row],[רווח
לעומת
מחיר
שוק]]/F19</f>
        <v>5.9142133333333335</v>
      </c>
      <c r="J19" s="97">
        <f>VLOOKUP(A19,'מחירים שוק חופשי'!B:F,5,0)-F19</f>
        <v>8871320</v>
      </c>
      <c r="K19" s="12">
        <v>1841081</v>
      </c>
      <c r="L19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460270.25</v>
      </c>
      <c r="M19" s="11">
        <f>(טבלה1[[#This Row],[מחיר לאחר
ההנחה ומענק]]-טבלה1[[#This Row],[הון עצמי
הנדרש]])/100000*530</f>
        <v>7318.2969750000002</v>
      </c>
      <c r="N19" s="10">
        <f t="shared" si="0"/>
        <v>6.0415967575571088</v>
      </c>
      <c r="O19" s="13">
        <f>VLOOKUP(A19,'מחירים שוק חופשי'!B:G,6,0)-K19</f>
        <v>11123069</v>
      </c>
      <c r="P19" s="103">
        <v>2300000</v>
      </c>
      <c r="Q19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575000</v>
      </c>
      <c r="R19" s="103">
        <f>(טבלה1[[#This Row],[המחיר לאחר
ההנחה ומענק]]-טבלה1[[#This Row],[הון העצמי
הנדרש]])/100000*530</f>
        <v>9142.5</v>
      </c>
      <c r="S19" s="107">
        <f>טבלה1[[#This Row],[הרווח
לעומת
מחיר
השוק]]/טבלה1[[#This Row],[המחיר לאחר
ההנחה ומענק]]</f>
        <v>6.0457336956521743</v>
      </c>
      <c r="T19" s="114">
        <f>VLOOKUP(A19,'מחירים שוק חופשי'!B:H,7,0)-טבלה1[[#This Row],[המחיר לאחר
ההנחה ומענק]]</f>
        <v>13905187.5</v>
      </c>
      <c r="U19" s="96"/>
      <c r="V19" s="147">
        <v>7.6E-3</v>
      </c>
    </row>
    <row r="20" spans="1:22" ht="26.1" customHeight="1">
      <c r="A20" s="120" t="s">
        <v>69</v>
      </c>
      <c r="B20" s="8">
        <v>10</v>
      </c>
      <c r="C20" s="100">
        <f>טבלה1[[#This Row],[מתוכם
דירות
לכלל
הציבור]]+טבלה1[[#This Row],[מתוכם
דירות
לבני
מקום]]</f>
        <v>84</v>
      </c>
      <c r="D20" s="53">
        <v>49</v>
      </c>
      <c r="E20" s="52">
        <v>35</v>
      </c>
      <c r="F20" s="12">
        <v>780700</v>
      </c>
      <c r="G20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11">
        <f>(טבלה1[[#This Row],[מחיר לאחר
הנחה ומענק]]-טבלה1[[#This Row],[הון עצמי
נדרש]])/100000*530</f>
        <v>3607.71</v>
      </c>
      <c r="I20" s="10">
        <f>טבלה1[[#This Row],[רווח
לעומת
מחיר
שוק]]/F20</f>
        <v>0.54722684770078134</v>
      </c>
      <c r="J20" s="97">
        <f>VLOOKUP(A20,'מחירים שוק חופשי'!B:F,5,0)-F20</f>
        <v>427220</v>
      </c>
      <c r="K20" s="12">
        <v>1096688</v>
      </c>
      <c r="L20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0" s="11">
        <f>(טבלה1[[#This Row],[מחיר לאחר
ההנחה ומענק]]-טבלה1[[#This Row],[הון עצמי
הנדרש]])/100000*530</f>
        <v>5282.4463999999998</v>
      </c>
      <c r="N20" s="10">
        <f t="shared" si="0"/>
        <v>0.37678172825817369</v>
      </c>
      <c r="O20" s="13">
        <f>VLOOKUP(A20,'מחירים שוק חופשי'!B:G,6,0)-K20</f>
        <v>413212</v>
      </c>
      <c r="P20" s="103">
        <v>1479000</v>
      </c>
      <c r="Q20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129000</v>
      </c>
      <c r="R20" s="103">
        <f>(טבלה1[[#This Row],[המחיר לאחר
ההנחה ומענק]]-טבלה1[[#This Row],[הון העצמי
הנדרש]])/100000*530</f>
        <v>7155</v>
      </c>
      <c r="S20" s="107">
        <f>טבלה1[[#This Row],[הרווח
לעומת
מחיר
השוק]]/טבלה1[[#This Row],[המחיר לאחר
ההנחה ומענק]]</f>
        <v>0.27611561866125761</v>
      </c>
      <c r="T20" s="114">
        <f>VLOOKUP(A20,'מחירים שוק חופשי'!B:H,7,0)-טבלה1[[#This Row],[המחיר לאחר
ההנחה ומענק]]</f>
        <v>408375</v>
      </c>
      <c r="U20" s="96"/>
      <c r="V20" s="147">
        <v>8.5000000000000006E-3</v>
      </c>
    </row>
    <row r="21" spans="1:22" ht="26.1" customHeight="1">
      <c r="A21" s="120" t="s">
        <v>70</v>
      </c>
      <c r="B21" s="8">
        <v>8</v>
      </c>
      <c r="C21" s="100">
        <f>טבלה1[[#This Row],[מתוכם
דירות
לכלל
הציבור]]+טבלה1[[#This Row],[מתוכם
דירות
לבני
מקום]]</f>
        <v>349</v>
      </c>
      <c r="D21" s="53">
        <v>248</v>
      </c>
      <c r="E21" s="52">
        <v>101</v>
      </c>
      <c r="F21" s="12">
        <v>620000</v>
      </c>
      <c r="G21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10">
        <f>(טבלה1[[#This Row],[מחיר לאחר
הנחה ומענק]]-טבלה1[[#This Row],[הון עצמי
נדרש]])/100000*530</f>
        <v>2756</v>
      </c>
      <c r="I21" s="10">
        <f>טבלה1[[#This Row],[רווח
לעומת
מחיר
שוק]]/F21</f>
        <v>0.6225806451612903</v>
      </c>
      <c r="J21" s="97">
        <f>VLOOKUP(A21,'מחירים שוק חופשי'!B:F,5,0)-F21</f>
        <v>386000</v>
      </c>
      <c r="K21" s="12">
        <v>770000</v>
      </c>
      <c r="L21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1" s="11">
        <f>(טבלה1[[#This Row],[מחיר לאחר
ההנחה ומענק]]-טבלה1[[#This Row],[הון עצמי
הנדרש]])/100000*530</f>
        <v>3551</v>
      </c>
      <c r="N21" s="10">
        <f t="shared" si="0"/>
        <v>0.63311688311688308</v>
      </c>
      <c r="O21" s="13">
        <f>VLOOKUP(A21,'מחירים שוק חופשי'!B:G,6,0)-K21</f>
        <v>487500</v>
      </c>
      <c r="P21" s="103">
        <v>1078000</v>
      </c>
      <c r="Q21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1" s="103">
        <f>(טבלה1[[#This Row],[המחיר לאחר
ההנחה ומענק]]-טבלה1[[#This Row],[הון העצמי
הנדרש]])/100000*530</f>
        <v>5183.3999999999996</v>
      </c>
      <c r="S21" s="107">
        <f>טבלה1[[#This Row],[הרווח
לעומת
מחיר
השוק]]/טבלה1[[#This Row],[המחיר לאחר
ההנחה ומענק]]</f>
        <v>0.45814007421150277</v>
      </c>
      <c r="T21" s="114">
        <f>VLOOKUP(A21,'מחירים שוק חופשי'!B:H,7,0)-טבלה1[[#This Row],[המחיר לאחר
ההנחה ומענק]]</f>
        <v>493875</v>
      </c>
      <c r="U21" s="96"/>
      <c r="V21" s="147">
        <v>2.1899999999999999E-2</v>
      </c>
    </row>
    <row r="22" spans="1:22" ht="26.1" customHeight="1">
      <c r="A22" s="120" t="s">
        <v>16</v>
      </c>
      <c r="B22" s="8">
        <v>12</v>
      </c>
      <c r="C22" s="100">
        <f>טבלה1[[#This Row],[מתוכם
דירות
לכלל
הציבור]]+טבלה1[[#This Row],[מתוכם
דירות
לבני
מקום]]</f>
        <v>210</v>
      </c>
      <c r="D22" s="53">
        <v>144</v>
      </c>
      <c r="E22" s="52">
        <v>66</v>
      </c>
      <c r="F22" s="12">
        <v>944000</v>
      </c>
      <c r="G22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10">
        <f>(טבלה1[[#This Row],[מחיר לאחר
הנחה ומענק]]-טבלה1[[#This Row],[הון עצמי
נדרש]])/100000*530</f>
        <v>4473.2</v>
      </c>
      <c r="I22" s="10">
        <f>טבלה1[[#This Row],[רווח
לעומת
מחיר
שוק]]/F22</f>
        <v>0.51105932203389826</v>
      </c>
      <c r="J22" s="97">
        <f>VLOOKUP(A22,'מחירים שוק חופשי'!B:F,5,0)-F22</f>
        <v>482440</v>
      </c>
      <c r="K22" s="12">
        <v>1300000</v>
      </c>
      <c r="L22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2" s="11">
        <f>(טבלה1[[#This Row],[מחיר לאחר
ההנחה ומענק]]-טבלה1[[#This Row],[הון עצמי
הנדרש]])/100000*530</f>
        <v>6360</v>
      </c>
      <c r="N22" s="10">
        <f t="shared" si="0"/>
        <v>0.37157692307692308</v>
      </c>
      <c r="O22" s="13">
        <f>VLOOKUP(A22,'מחירים שוק חופשי'!B:G,6,0)-K22</f>
        <v>483050</v>
      </c>
      <c r="P22" s="103">
        <v>1663500</v>
      </c>
      <c r="Q22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313500</v>
      </c>
      <c r="R22" s="103">
        <f>(טבלה1[[#This Row],[המחיר לאחר
ההנחה ומענק]]-טבלה1[[#This Row],[הון העצמי
הנדרש]])/100000*530</f>
        <v>7155</v>
      </c>
      <c r="S22" s="107">
        <f>טבלה1[[#This Row],[הרווח
לעומת
מחיר
השוק]]/טבלה1[[#This Row],[המחיר לאחר
ההנחה ומענק]]</f>
        <v>0.33983318304779081</v>
      </c>
      <c r="T22" s="114">
        <f>VLOOKUP(A22,'מחירים שוק חופשי'!B:H,7,0)-טבלה1[[#This Row],[המחיר לאחר
ההנחה ומענק]]</f>
        <v>565312.5</v>
      </c>
      <c r="U22" s="96"/>
      <c r="V22" s="147">
        <v>1.1900000000000001E-2</v>
      </c>
    </row>
    <row r="23" spans="1:22" ht="26.1" customHeight="1">
      <c r="A23" s="120" t="s">
        <v>72</v>
      </c>
      <c r="B23" s="8">
        <v>7</v>
      </c>
      <c r="C23" s="100">
        <f>טבלה1[[#This Row],[מתוכם
דירות
לכלל
הציבור]]+טבלה1[[#This Row],[מתוכם
דירות
לבני
מקום]]</f>
        <v>152</v>
      </c>
      <c r="D23" s="53">
        <v>103</v>
      </c>
      <c r="E23" s="52">
        <v>49</v>
      </c>
      <c r="F23" s="12">
        <v>1015300</v>
      </c>
      <c r="G23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10">
        <f>(טבלה1[[#This Row],[מחיר לאחר
הנחה ומענק]]-טבלה1[[#This Row],[הון עצמי
נדרש]])/100000*530</f>
        <v>4851.09</v>
      </c>
      <c r="I23" s="10">
        <f>טבלה1[[#This Row],[רווח
לעומת
מחיר
שוק]]/F23</f>
        <v>0.51505958829902487</v>
      </c>
      <c r="J23" s="97">
        <f>VLOOKUP(A23,'מחירים שוק חופשי'!B:F,5,0)-F23</f>
        <v>522940</v>
      </c>
      <c r="K23" s="12">
        <v>1382457</v>
      </c>
      <c r="L23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3" s="11">
        <f>(טבלה1[[#This Row],[מחיר לאחר
ההנחה ומענק]]-טבלה1[[#This Row],[הון עצמי
הנדרש]])/100000*530</f>
        <v>6797.0221000000001</v>
      </c>
      <c r="N23" s="10">
        <f t="shared" si="0"/>
        <v>0.39085700314729499</v>
      </c>
      <c r="O23" s="13">
        <f>VLOOKUP(A23,'מחירים שוק חופשי'!B:G,6,0)-K23</f>
        <v>540343</v>
      </c>
      <c r="P23" s="103">
        <v>1733180</v>
      </c>
      <c r="Q23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383180</v>
      </c>
      <c r="R23" s="103">
        <f>(טבלה1[[#This Row],[המחיר לאחר
ההנחה ומענק]]-טבלה1[[#This Row],[הון העצמי
הנדרש]])/100000*530</f>
        <v>7155</v>
      </c>
      <c r="S23" s="107">
        <f>טבלה1[[#This Row],[הרווח
לעומת
מחיר
השוק]]/טבלה1[[#This Row],[המחיר לאחר
ההנחה ומענק]]</f>
        <v>0.38675729006796755</v>
      </c>
      <c r="T23" s="114">
        <f>VLOOKUP(A23,'מחירים שוק חופשי'!B:H,7,0)-טבלה1[[#This Row],[המחיר לאחר
ההנחה ומענק]]</f>
        <v>670320</v>
      </c>
      <c r="U23" s="96"/>
      <c r="V23" s="147">
        <v>1.26E-2</v>
      </c>
    </row>
    <row r="24" spans="1:22" ht="26.1" customHeight="1">
      <c r="A24" s="120" t="s">
        <v>38</v>
      </c>
      <c r="B24" s="8">
        <v>18</v>
      </c>
      <c r="C24" s="100">
        <f>טבלה1[[#This Row],[מתוכם
דירות
לכלל
הציבור]]+טבלה1[[#This Row],[מתוכם
דירות
לבני
מקום]]</f>
        <v>600</v>
      </c>
      <c r="D24" s="53">
        <v>407</v>
      </c>
      <c r="E24" s="52">
        <v>193</v>
      </c>
      <c r="F24" s="12">
        <v>1300000</v>
      </c>
      <c r="G24" s="78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10">
        <f>(טבלה1[[#This Row],[מחיר לאחר
הנחה ומענק]]-טבלה1[[#This Row],[הון עצמי
נדרש]])/100000*530</f>
        <v>6360</v>
      </c>
      <c r="I24" s="10">
        <f>טבלה1[[#This Row],[רווח
לעומת
מחיר
שוק]]/F24</f>
        <v>0.29338461538461541</v>
      </c>
      <c r="J24" s="97">
        <f>VLOOKUP(A24,'מחירים שוק חופשי'!B:F,5,0)-F24</f>
        <v>381400</v>
      </c>
      <c r="K24" s="12">
        <v>1716545</v>
      </c>
      <c r="L24" s="11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366545</v>
      </c>
      <c r="M24" s="11">
        <f>(טבלה1[[#This Row],[מחיר לאחר
ההנחה ומענק]]-טבלה1[[#This Row],[הון עצמי
הנדרש]])/100000*530</f>
        <v>7155</v>
      </c>
      <c r="N24" s="10">
        <f t="shared" si="0"/>
        <v>0.22440716672152491</v>
      </c>
      <c r="O24" s="13">
        <f>VLOOKUP(A24,'מחירים שוק חופשי'!B:G,6,0)-K24</f>
        <v>385205</v>
      </c>
      <c r="P24" s="103">
        <v>2144200</v>
      </c>
      <c r="Q2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536050</v>
      </c>
      <c r="R24" s="103">
        <f>(טבלה1[[#This Row],[המחיר לאחר
ההנחה ומענק]]-טבלה1[[#This Row],[הון העצמי
הנדרש]])/100000*530</f>
        <v>8523.1949999999997</v>
      </c>
      <c r="S24" s="107">
        <f>טבלה1[[#This Row],[הרווח
לעומת
מחיר
השוק]]/טבלה1[[#This Row],[המחיר לאחר
ההנחה ומענק]]</f>
        <v>0.22525300811491467</v>
      </c>
      <c r="T24" s="114">
        <f>VLOOKUP(A24,'מחירים שוק חופשי'!B:H,7,0)-טבלה1[[#This Row],[המחיר לאחר
ההנחה ומענק]]</f>
        <v>482987.5</v>
      </c>
      <c r="U24" s="96"/>
      <c r="V24" s="147">
        <v>2.5700000000000001E-2</v>
      </c>
    </row>
    <row r="25" spans="1:22" ht="26.1" customHeight="1" thickBot="1">
      <c r="A25" s="121" t="s">
        <v>71</v>
      </c>
      <c r="B25" s="54">
        <v>6</v>
      </c>
      <c r="C25" s="101">
        <f>טבלה1[[#This Row],[מתוכם
דירות
לכלל
הציבור]]+טבלה1[[#This Row],[מתוכם
דירות
לבני
מקום]]</f>
        <v>768</v>
      </c>
      <c r="D25" s="55">
        <v>524</v>
      </c>
      <c r="E25" s="56">
        <v>244</v>
      </c>
      <c r="F25" s="57">
        <v>1998000</v>
      </c>
      <c r="G25" s="79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499500</v>
      </c>
      <c r="H25" s="59">
        <f>(טבלה1[[#This Row],[מחיר לאחר
הנחה ומענק]]-טבלה1[[#This Row],[הון עצמי
נדרש]])/100000*530</f>
        <v>7942.0499999999993</v>
      </c>
      <c r="I25" s="59">
        <f>טבלה1[[#This Row],[רווח
לעומת
מחיר
שוק]]/F25</f>
        <v>0.30712712712712714</v>
      </c>
      <c r="J25" s="109">
        <f>VLOOKUP(A25,'מחירים שוק חופשי'!B:F,5,0)-F25</f>
        <v>613640</v>
      </c>
      <c r="K25" s="57">
        <v>2452771</v>
      </c>
      <c r="L25" s="58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613192.75</v>
      </c>
      <c r="M25" s="58">
        <f>(טבלה1[[#This Row],[מחיר לאחר
ההנחה ומענק]]-טבלה1[[#This Row],[הון עצמי
הנדרש]])/100000*530</f>
        <v>9749.7647249999991</v>
      </c>
      <c r="N25" s="59">
        <f t="shared" si="0"/>
        <v>0.33096404026303311</v>
      </c>
      <c r="O25" s="60">
        <f>VLOOKUP(A25,'מחירים שוק חופשי'!B:G,6,0)-K25</f>
        <v>811779</v>
      </c>
      <c r="P25" s="104">
        <v>3069390</v>
      </c>
      <c r="Q25" s="104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767347.5</v>
      </c>
      <c r="R25" s="104">
        <f>(טבלה1[[#This Row],[המחיר לאחר
ההנחה ומענק]]-טבלה1[[#This Row],[הון העצמי
הנדרש]])/100000*530</f>
        <v>12200.82525</v>
      </c>
      <c r="S25" s="108">
        <f>טבלה1[[#This Row],[הרווח
לעומת
מחיר
השוק]]/טבלה1[[#This Row],[המחיר לאחר
ההנחה ומענק]]</f>
        <v>0.32947833282834699</v>
      </c>
      <c r="T25" s="115">
        <f>VLOOKUP(A25,'מחירים שוק חופשי'!B:H,7,0)-טבלה1[[#This Row],[המחיר לאחר
ההנחה ומענק]]</f>
        <v>1011297.5</v>
      </c>
      <c r="U25" s="98"/>
      <c r="V25" s="148">
        <v>1.7600000000000001E-2</v>
      </c>
    </row>
    <row r="26" spans="1:22" ht="26.1" customHeight="1">
      <c r="A26" s="117" t="s">
        <v>78</v>
      </c>
      <c r="B26" s="110"/>
      <c r="C26" s="111">
        <f>SUM(C4:C25)</f>
        <v>4540</v>
      </c>
      <c r="D26" s="112">
        <f>SUBTOTAL(109,טבלה1[מתוכם
דירות
לכלל
הציבור])</f>
        <v>3077</v>
      </c>
      <c r="E26" s="113">
        <f>SUBTOTAL(109,טבלה1[מתוכם
דירות
לבני
מקום])</f>
        <v>1463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H27" s="102"/>
    </row>
    <row r="28" spans="1:22">
      <c r="H28" s="102"/>
    </row>
    <row r="29" spans="1:22">
      <c r="H29" s="102"/>
    </row>
    <row r="30" spans="1:22">
      <c r="H30" s="102"/>
    </row>
    <row r="31" spans="1:22">
      <c r="H31" s="102"/>
    </row>
    <row r="32" spans="1:22">
      <c r="H32" s="102"/>
    </row>
    <row r="33" spans="8:18">
      <c r="H33" s="102"/>
    </row>
    <row r="34" spans="8:18">
      <c r="H34" s="102"/>
    </row>
    <row r="35" spans="8:18">
      <c r="H35" s="102"/>
    </row>
    <row r="36" spans="8:18">
      <c r="H36" s="102"/>
    </row>
    <row r="37" spans="8:18">
      <c r="H37" s="102"/>
    </row>
    <row r="38" spans="8:18">
      <c r="H38" s="102"/>
    </row>
    <row r="39" spans="8:18">
      <c r="H39" s="102"/>
    </row>
    <row r="40" spans="8:18">
      <c r="H40" s="102"/>
    </row>
    <row r="41" spans="8:18">
      <c r="H41" s="102"/>
      <c r="O41" s="5"/>
      <c r="R41" s="5"/>
    </row>
    <row r="47" spans="8:18">
      <c r="K47" s="5"/>
    </row>
    <row r="48" spans="8:18">
      <c r="K48" s="5"/>
    </row>
  </sheetData>
  <sheetProtection sort="0" autoFilter="0"/>
  <mergeCells count="9">
    <mergeCell ref="C1:E1"/>
    <mergeCell ref="F2:J2"/>
    <mergeCell ref="K2:O2"/>
    <mergeCell ref="A2:E2"/>
    <mergeCell ref="U2:V2"/>
    <mergeCell ref="I1:J1"/>
    <mergeCell ref="N1:O1"/>
    <mergeCell ref="P2:T2"/>
    <mergeCell ref="S1:T1"/>
  </mergeCells>
  <phoneticPr fontId="1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4.25"/>
  <cols>
    <col min="1" max="2" width="9.875" bestFit="1" customWidth="1"/>
    <col min="4" max="4" width="4.875" bestFit="1" customWidth="1"/>
    <col min="5" max="5" width="10.5" bestFit="1" customWidth="1"/>
    <col min="6" max="6" width="4.875" bestFit="1" customWidth="1"/>
    <col min="8" max="8" width="9.875" bestFit="1" customWidth="1"/>
    <col min="9" max="9" width="11.875" bestFit="1" customWidth="1"/>
    <col min="11" max="11" width="9.875" bestFit="1" customWidth="1"/>
    <col min="12" max="12" width="11.875" bestFit="1" customWidth="1"/>
  </cols>
  <sheetData>
    <row r="1" spans="1:12" ht="15.75" thickBot="1">
      <c r="A1" s="43" t="s">
        <v>25</v>
      </c>
      <c r="B1" s="42" t="s">
        <v>24</v>
      </c>
      <c r="D1" s="144"/>
      <c r="E1" s="146"/>
      <c r="F1" s="145"/>
      <c r="G1" s="41"/>
      <c r="H1" s="144">
        <v>3</v>
      </c>
      <c r="I1" s="145"/>
      <c r="J1" s="41"/>
      <c r="K1" s="144">
        <v>4</v>
      </c>
      <c r="L1" s="145"/>
    </row>
    <row r="2" spans="1:12" ht="15">
      <c r="A2" s="40">
        <f>(I2+I3)/D2</f>
        <v>550733</v>
      </c>
      <c r="B2" s="39">
        <f>(L2+L3)/D2</f>
        <v>675899.5</v>
      </c>
      <c r="D2" s="35">
        <v>72</v>
      </c>
      <c r="E2" s="36" t="s">
        <v>20</v>
      </c>
      <c r="F2" s="33">
        <v>36</v>
      </c>
      <c r="H2" s="35">
        <v>535392</v>
      </c>
      <c r="I2" s="33">
        <f t="shared" ref="I2:I27" si="0">H2*F2</f>
        <v>19274112</v>
      </c>
      <c r="K2" s="35">
        <v>657072</v>
      </c>
      <c r="L2" s="33">
        <f t="shared" ref="L2:L27" si="1">K2*F2</f>
        <v>23654592</v>
      </c>
    </row>
    <row r="3" spans="1:12" ht="15.75" thickBot="1">
      <c r="A3" s="20"/>
      <c r="B3" s="19"/>
      <c r="D3" s="17"/>
      <c r="E3" s="18"/>
      <c r="F3" s="15">
        <v>36</v>
      </c>
      <c r="H3" s="17">
        <v>566074</v>
      </c>
      <c r="I3" s="15">
        <f t="shared" si="0"/>
        <v>20378664</v>
      </c>
      <c r="K3" s="17">
        <v>694727</v>
      </c>
      <c r="L3" s="15">
        <f t="shared" si="1"/>
        <v>25010172</v>
      </c>
    </row>
    <row r="4" spans="1:12" ht="15">
      <c r="A4" s="38">
        <f>(I4+I5+I6)/D4</f>
        <v>1543792.9115646258</v>
      </c>
      <c r="B4" s="37">
        <f>(L4+L5+L6)/D4</f>
        <v>1916527.3224489796</v>
      </c>
      <c r="D4" s="35">
        <v>735</v>
      </c>
      <c r="E4" s="36" t="s">
        <v>3</v>
      </c>
      <c r="F4" s="33">
        <v>368</v>
      </c>
      <c r="H4" s="35">
        <v>1560977</v>
      </c>
      <c r="I4" s="33">
        <f t="shared" si="0"/>
        <v>574439536</v>
      </c>
      <c r="K4" s="35">
        <v>1915744</v>
      </c>
      <c r="L4" s="33">
        <f t="shared" si="1"/>
        <v>704993792</v>
      </c>
    </row>
    <row r="5" spans="1:12" ht="15">
      <c r="A5" s="26"/>
      <c r="B5" s="25"/>
      <c r="D5" s="23"/>
      <c r="E5" s="24"/>
      <c r="F5" s="21">
        <v>179</v>
      </c>
      <c r="H5" s="23">
        <v>1526562</v>
      </c>
      <c r="I5" s="21">
        <f t="shared" si="0"/>
        <v>273254598</v>
      </c>
      <c r="K5" s="23">
        <v>1894010</v>
      </c>
      <c r="L5" s="21">
        <f t="shared" si="1"/>
        <v>339027790</v>
      </c>
    </row>
    <row r="6" spans="1:12" ht="15.75" thickBot="1">
      <c r="A6" s="20"/>
      <c r="B6" s="19"/>
      <c r="D6" s="17"/>
      <c r="E6" s="18"/>
      <c r="F6" s="15">
        <v>188</v>
      </c>
      <c r="H6" s="17">
        <v>1526562</v>
      </c>
      <c r="I6" s="15">
        <f t="shared" si="0"/>
        <v>286993656</v>
      </c>
      <c r="K6" s="17">
        <v>1939500</v>
      </c>
      <c r="L6" s="15">
        <f t="shared" si="1"/>
        <v>364626000</v>
      </c>
    </row>
    <row r="7" spans="1:12" ht="15">
      <c r="A7" s="44">
        <f>(I7+I8+I9)/D7</f>
        <v>588508.89552238805</v>
      </c>
      <c r="B7" s="37">
        <f>(L7+L8+L9)/D7</f>
        <v>722260.85074626864</v>
      </c>
      <c r="D7" s="35">
        <v>67</v>
      </c>
      <c r="E7" s="36" t="s">
        <v>21</v>
      </c>
      <c r="F7" s="33">
        <v>29</v>
      </c>
      <c r="H7" s="35">
        <v>564736</v>
      </c>
      <c r="I7" s="33">
        <f t="shared" si="0"/>
        <v>16377344</v>
      </c>
      <c r="K7" s="35">
        <v>693085</v>
      </c>
      <c r="L7" s="34">
        <f t="shared" si="1"/>
        <v>20099465</v>
      </c>
    </row>
    <row r="8" spans="1:12" ht="15">
      <c r="A8" s="26"/>
      <c r="B8" s="25"/>
      <c r="D8" s="23"/>
      <c r="E8" s="24"/>
      <c r="F8" s="21">
        <v>20</v>
      </c>
      <c r="H8" s="23">
        <v>605920</v>
      </c>
      <c r="I8" s="21">
        <f t="shared" si="0"/>
        <v>12118400</v>
      </c>
      <c r="K8" s="23">
        <v>743629</v>
      </c>
      <c r="L8" s="22">
        <f t="shared" si="1"/>
        <v>14872580</v>
      </c>
    </row>
    <row r="9" spans="1:12" ht="15.75" thickBot="1">
      <c r="A9" s="20"/>
      <c r="B9" s="19"/>
      <c r="D9" s="17"/>
      <c r="E9" s="18"/>
      <c r="F9" s="15">
        <v>18</v>
      </c>
      <c r="H9" s="17">
        <v>607464</v>
      </c>
      <c r="I9" s="15">
        <f t="shared" si="0"/>
        <v>10934352</v>
      </c>
      <c r="K9" s="17">
        <v>745524</v>
      </c>
      <c r="L9" s="16">
        <f t="shared" si="1"/>
        <v>13419432</v>
      </c>
    </row>
    <row r="10" spans="1:12" ht="15">
      <c r="A10" s="38">
        <f>(I10+I11+I12+I13+I14)/D10</f>
        <v>740246.88203753356</v>
      </c>
      <c r="B10" s="37">
        <f>(L10+L11+L12+L13+L14)/D10</f>
        <v>908484.97587131371</v>
      </c>
      <c r="D10" s="35">
        <v>373</v>
      </c>
      <c r="E10" s="36" t="s">
        <v>14</v>
      </c>
      <c r="F10" s="33">
        <v>83</v>
      </c>
      <c r="H10" s="35">
        <v>712277</v>
      </c>
      <c r="I10" s="33">
        <f t="shared" si="0"/>
        <v>59118991</v>
      </c>
      <c r="K10" s="34">
        <v>874158</v>
      </c>
      <c r="L10" s="33">
        <f t="shared" si="1"/>
        <v>72555114</v>
      </c>
    </row>
    <row r="11" spans="1:12" ht="15">
      <c r="A11" s="26"/>
      <c r="B11" s="25"/>
      <c r="D11" s="23"/>
      <c r="E11" s="24"/>
      <c r="F11" s="21">
        <v>103</v>
      </c>
      <c r="H11" s="23">
        <v>749034</v>
      </c>
      <c r="I11" s="21">
        <f t="shared" si="0"/>
        <v>77150502</v>
      </c>
      <c r="K11" s="22">
        <v>919269</v>
      </c>
      <c r="L11" s="21">
        <f t="shared" si="1"/>
        <v>94684707</v>
      </c>
    </row>
    <row r="12" spans="1:12" ht="15">
      <c r="A12" s="26"/>
      <c r="B12" s="25"/>
      <c r="D12" s="23"/>
      <c r="E12" s="24"/>
      <c r="F12" s="21">
        <v>56</v>
      </c>
      <c r="H12" s="23">
        <v>747876</v>
      </c>
      <c r="I12" s="21">
        <f t="shared" si="0"/>
        <v>41881056</v>
      </c>
      <c r="K12" s="22">
        <v>917847</v>
      </c>
      <c r="L12" s="21">
        <f t="shared" si="1"/>
        <v>51399432</v>
      </c>
    </row>
    <row r="13" spans="1:12" ht="15">
      <c r="A13" s="26"/>
      <c r="B13" s="25"/>
      <c r="D13" s="23"/>
      <c r="E13" s="24"/>
      <c r="F13" s="21">
        <v>66</v>
      </c>
      <c r="H13" s="23">
        <v>747798</v>
      </c>
      <c r="I13" s="21">
        <f t="shared" si="0"/>
        <v>49354668</v>
      </c>
      <c r="K13" s="22">
        <v>917753</v>
      </c>
      <c r="L13" s="21">
        <f t="shared" si="1"/>
        <v>60571698</v>
      </c>
    </row>
    <row r="14" spans="1:12" ht="15.75" thickBot="1">
      <c r="A14" s="20"/>
      <c r="B14" s="19"/>
      <c r="D14" s="17"/>
      <c r="E14" s="18"/>
      <c r="F14" s="15">
        <v>65</v>
      </c>
      <c r="H14" s="17">
        <v>747798</v>
      </c>
      <c r="I14" s="15">
        <f t="shared" si="0"/>
        <v>48606870</v>
      </c>
      <c r="K14" s="16">
        <v>917753</v>
      </c>
      <c r="L14" s="15">
        <f t="shared" si="1"/>
        <v>59653945</v>
      </c>
    </row>
    <row r="15" spans="1:12" ht="15">
      <c r="A15" s="38">
        <f>(I15+I16)/D15</f>
        <v>1216934.3478260869</v>
      </c>
      <c r="B15" s="37">
        <f>(L15+L16)/D15</f>
        <v>1607146.7608695652</v>
      </c>
      <c r="D15" s="35">
        <v>46</v>
      </c>
      <c r="E15" s="36" t="s">
        <v>22</v>
      </c>
      <c r="F15" s="33">
        <v>27</v>
      </c>
      <c r="H15" s="35">
        <v>1202135</v>
      </c>
      <c r="I15" s="33">
        <f t="shared" si="0"/>
        <v>32457645</v>
      </c>
      <c r="K15" s="34">
        <v>1588984</v>
      </c>
      <c r="L15" s="33">
        <f t="shared" si="1"/>
        <v>42902568</v>
      </c>
    </row>
    <row r="16" spans="1:12" ht="15.75" thickBot="1">
      <c r="A16" s="20"/>
      <c r="B16" s="19"/>
      <c r="D16" s="17"/>
      <c r="E16" s="18"/>
      <c r="F16" s="15">
        <v>19</v>
      </c>
      <c r="H16" s="45">
        <v>1237965</v>
      </c>
      <c r="I16" s="15">
        <f t="shared" si="0"/>
        <v>23521335</v>
      </c>
      <c r="K16" s="16">
        <v>1632957</v>
      </c>
      <c r="L16" s="15">
        <f t="shared" si="1"/>
        <v>31026183</v>
      </c>
    </row>
    <row r="17" spans="1:12" ht="15">
      <c r="A17" s="38">
        <f>(I17+I18+I19)/D17</f>
        <v>1607017.5</v>
      </c>
      <c r="B17" s="37">
        <f>(L17+L18+L19)/D17</f>
        <v>2040430.7317073171</v>
      </c>
      <c r="D17" s="35">
        <v>164</v>
      </c>
      <c r="E17" s="36" t="s">
        <v>23</v>
      </c>
      <c r="F17" s="33">
        <v>61</v>
      </c>
      <c r="H17" s="35">
        <v>1583550</v>
      </c>
      <c r="I17" s="33">
        <f t="shared" si="0"/>
        <v>96596550</v>
      </c>
      <c r="K17" s="34">
        <v>2011630</v>
      </c>
      <c r="L17" s="33">
        <f t="shared" si="1"/>
        <v>122709430</v>
      </c>
    </row>
    <row r="18" spans="1:12" ht="15">
      <c r="A18" s="26"/>
      <c r="B18" s="25"/>
      <c r="D18" s="23"/>
      <c r="E18" s="24"/>
      <c r="F18" s="21">
        <v>61</v>
      </c>
      <c r="H18" s="23">
        <v>1583550</v>
      </c>
      <c r="I18" s="21">
        <f t="shared" si="0"/>
        <v>96596550</v>
      </c>
      <c r="K18" s="22">
        <v>2011630</v>
      </c>
      <c r="L18" s="21">
        <f t="shared" si="1"/>
        <v>122709430</v>
      </c>
    </row>
    <row r="19" spans="1:12" ht="15.75" thickBot="1">
      <c r="A19" s="20"/>
      <c r="B19" s="19"/>
      <c r="D19" s="17"/>
      <c r="E19" s="18"/>
      <c r="F19" s="15">
        <v>42</v>
      </c>
      <c r="H19" s="17">
        <v>1675185</v>
      </c>
      <c r="I19" s="15">
        <f t="shared" si="0"/>
        <v>70357770</v>
      </c>
      <c r="K19" s="16">
        <v>2124090</v>
      </c>
      <c r="L19" s="15">
        <f t="shared" si="1"/>
        <v>89211780</v>
      </c>
    </row>
    <row r="20" spans="1:12" ht="15">
      <c r="A20" s="38">
        <f>(I20+I21+I22+I23)/D20</f>
        <v>1384329.328</v>
      </c>
      <c r="B20" s="37">
        <f>(L20+L21+L22+L23)/D20</f>
        <v>1774726.824</v>
      </c>
      <c r="D20" s="35">
        <v>250</v>
      </c>
      <c r="E20" s="36" t="s">
        <v>1</v>
      </c>
      <c r="F20" s="33">
        <v>37</v>
      </c>
      <c r="H20" s="35">
        <v>1690654</v>
      </c>
      <c r="I20" s="33">
        <f t="shared" si="0"/>
        <v>62554198</v>
      </c>
      <c r="K20" s="34">
        <v>2185270</v>
      </c>
      <c r="L20" s="33">
        <f t="shared" si="1"/>
        <v>80854990</v>
      </c>
    </row>
    <row r="21" spans="1:12" ht="15">
      <c r="A21" s="26"/>
      <c r="B21" s="25"/>
      <c r="D21" s="23"/>
      <c r="E21" s="24"/>
      <c r="F21" s="21">
        <v>29</v>
      </c>
      <c r="H21" s="23">
        <v>1331118</v>
      </c>
      <c r="I21" s="21">
        <f t="shared" si="0"/>
        <v>38602422</v>
      </c>
      <c r="K21" s="22">
        <v>1766892</v>
      </c>
      <c r="L21" s="21">
        <f t="shared" si="1"/>
        <v>51239868</v>
      </c>
    </row>
    <row r="22" spans="1:12" ht="15">
      <c r="A22" s="26"/>
      <c r="B22" s="25"/>
      <c r="D22" s="23"/>
      <c r="E22" s="24"/>
      <c r="F22" s="21">
        <v>74</v>
      </c>
      <c r="H22" s="23">
        <v>1331118</v>
      </c>
      <c r="I22" s="21">
        <f t="shared" si="0"/>
        <v>98502732</v>
      </c>
      <c r="K22" s="22">
        <v>1715842</v>
      </c>
      <c r="L22" s="21">
        <f t="shared" si="1"/>
        <v>126972308</v>
      </c>
    </row>
    <row r="23" spans="1:12" ht="15.75" thickBot="1">
      <c r="A23" s="20"/>
      <c r="B23" s="19"/>
      <c r="D23" s="17"/>
      <c r="E23" s="18"/>
      <c r="F23" s="15">
        <v>110</v>
      </c>
      <c r="H23" s="17">
        <v>1331118</v>
      </c>
      <c r="I23" s="15">
        <f t="shared" si="0"/>
        <v>146422980</v>
      </c>
      <c r="K23" s="16">
        <v>1678314</v>
      </c>
      <c r="L23" s="15">
        <f t="shared" si="1"/>
        <v>184614540</v>
      </c>
    </row>
    <row r="24" spans="1:12" ht="15">
      <c r="A24" s="32">
        <f>(I24+I26+I25+I27)/D24</f>
        <v>838553.96439169138</v>
      </c>
      <c r="B24" s="31">
        <f>(L24+L25+L26+L27)/D24</f>
        <v>1029134.4688427299</v>
      </c>
      <c r="D24" s="29">
        <v>337</v>
      </c>
      <c r="E24" s="30" t="s">
        <v>0</v>
      </c>
      <c r="F24" s="27">
        <v>25</v>
      </c>
      <c r="H24" s="29">
        <v>853127</v>
      </c>
      <c r="I24" s="27">
        <f t="shared" si="0"/>
        <v>21328175</v>
      </c>
      <c r="K24" s="28">
        <v>1047019</v>
      </c>
      <c r="L24" s="27">
        <f t="shared" si="1"/>
        <v>26175475</v>
      </c>
    </row>
    <row r="25" spans="1:12" ht="15">
      <c r="A25" s="26"/>
      <c r="B25" s="25"/>
      <c r="D25" s="23"/>
      <c r="E25" s="24"/>
      <c r="F25" s="21">
        <v>139</v>
      </c>
      <c r="H25" s="23">
        <v>837219</v>
      </c>
      <c r="I25" s="21">
        <f t="shared" si="0"/>
        <v>116373441</v>
      </c>
      <c r="K25" s="22">
        <v>1027496</v>
      </c>
      <c r="L25" s="21">
        <f t="shared" si="1"/>
        <v>142821944</v>
      </c>
    </row>
    <row r="26" spans="1:12" ht="15">
      <c r="A26" s="26"/>
      <c r="B26" s="25"/>
      <c r="D26" s="23"/>
      <c r="E26" s="24"/>
      <c r="F26" s="21">
        <v>83</v>
      </c>
      <c r="H26" s="23">
        <v>839690</v>
      </c>
      <c r="I26" s="21">
        <f t="shared" si="0"/>
        <v>69694270</v>
      </c>
      <c r="K26" s="22">
        <v>1030529</v>
      </c>
      <c r="L26" s="21">
        <f t="shared" si="1"/>
        <v>85533907</v>
      </c>
    </row>
    <row r="27" spans="1:12" ht="15.75" thickBot="1">
      <c r="A27" s="20"/>
      <c r="B27" s="19"/>
      <c r="D27" s="17"/>
      <c r="E27" s="18"/>
      <c r="F27" s="15">
        <v>90</v>
      </c>
      <c r="H27" s="17">
        <v>835520</v>
      </c>
      <c r="I27" s="15">
        <f t="shared" si="0"/>
        <v>75196800</v>
      </c>
      <c r="K27" s="16">
        <v>1025411</v>
      </c>
      <c r="L27" s="15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Q53"/>
  <sheetViews>
    <sheetView rightToLeft="1" workbookViewId="0">
      <pane ySplit="6" topLeftCell="A7" activePane="bottomLeft" state="frozen"/>
      <selection pane="bottomLeft" activeCell="D33" sqref="D33"/>
    </sheetView>
  </sheetViews>
  <sheetFormatPr defaultRowHeight="15"/>
  <cols>
    <col min="1" max="1" width="7.125" style="46" customWidth="1"/>
    <col min="2" max="2" width="15.875" bestFit="1" customWidth="1"/>
    <col min="3" max="3" width="9.875" bestFit="1" customWidth="1"/>
    <col min="4" max="4" width="10" style="51" bestFit="1" customWidth="1"/>
    <col min="5" max="5" width="10" style="51" customWidth="1"/>
    <col min="6" max="8" width="9.875" style="51" bestFit="1" customWidth="1"/>
    <col min="9" max="9" width="12.5" customWidth="1"/>
    <col min="16" max="16" width="9.875" bestFit="1" customWidth="1"/>
    <col min="17" max="17" width="12.375" bestFit="1" customWidth="1"/>
  </cols>
  <sheetData>
    <row r="1" spans="1:9" s="50" customFormat="1" ht="36" customHeight="1">
      <c r="A1" s="72" t="s">
        <v>50</v>
      </c>
      <c r="B1" s="73" t="s">
        <v>6</v>
      </c>
      <c r="C1" s="73" t="s">
        <v>73</v>
      </c>
      <c r="D1" s="73" t="s">
        <v>58</v>
      </c>
      <c r="E1" s="73" t="s">
        <v>74</v>
      </c>
      <c r="F1" s="73" t="s">
        <v>7</v>
      </c>
      <c r="G1" s="73" t="s">
        <v>8</v>
      </c>
      <c r="H1" s="73" t="s">
        <v>79</v>
      </c>
      <c r="I1" s="74" t="s">
        <v>49</v>
      </c>
    </row>
    <row r="2" spans="1:9" s="50" customFormat="1" hidden="1">
      <c r="A2" s="48"/>
      <c r="B2" s="70" t="s">
        <v>54</v>
      </c>
      <c r="C2" s="88"/>
      <c r="D2" s="71">
        <v>13600</v>
      </c>
      <c r="E2" s="71"/>
      <c r="F2" s="3">
        <f t="shared" ref="F2:F53" si="0">E2*80</f>
        <v>0</v>
      </c>
      <c r="G2" s="3">
        <f t="shared" ref="G2:G53" si="1">E2*100</f>
        <v>0</v>
      </c>
      <c r="H2" s="105"/>
      <c r="I2" s="89"/>
    </row>
    <row r="3" spans="1:9" ht="18" hidden="1" customHeight="1">
      <c r="A3" s="48"/>
      <c r="B3" s="2" t="s">
        <v>30</v>
      </c>
      <c r="C3" s="68">
        <v>16400</v>
      </c>
      <c r="D3" s="24"/>
      <c r="E3" s="24"/>
      <c r="F3" s="3">
        <f t="shared" si="0"/>
        <v>0</v>
      </c>
      <c r="G3" s="3">
        <f t="shared" si="1"/>
        <v>0</v>
      </c>
      <c r="H3" s="3"/>
      <c r="I3" s="49" t="s">
        <v>45</v>
      </c>
    </row>
    <row r="4" spans="1:9" ht="18" hidden="1" customHeight="1">
      <c r="A4" s="69"/>
      <c r="B4" s="70" t="s">
        <v>20</v>
      </c>
      <c r="C4" s="2"/>
      <c r="D4" s="71"/>
      <c r="E4" s="71"/>
      <c r="F4" s="3">
        <f t="shared" si="0"/>
        <v>0</v>
      </c>
      <c r="G4" s="3">
        <f t="shared" si="1"/>
        <v>0</v>
      </c>
      <c r="H4" s="3"/>
      <c r="I4" s="14"/>
    </row>
    <row r="5" spans="1:9" ht="18" hidden="1" customHeight="1">
      <c r="A5" s="48"/>
      <c r="B5" s="2" t="s">
        <v>3</v>
      </c>
      <c r="C5" s="2"/>
      <c r="D5" s="3"/>
      <c r="E5" s="3"/>
      <c r="F5" s="3">
        <f t="shared" si="0"/>
        <v>0</v>
      </c>
      <c r="G5" s="3">
        <f t="shared" si="1"/>
        <v>0</v>
      </c>
      <c r="H5" s="3"/>
      <c r="I5" s="14" t="s">
        <v>29</v>
      </c>
    </row>
    <row r="6" spans="1:9" ht="18" hidden="1" customHeight="1">
      <c r="A6" s="48"/>
      <c r="B6" s="83" t="s">
        <v>27</v>
      </c>
      <c r="C6" s="84">
        <v>17900</v>
      </c>
      <c r="D6" s="85"/>
      <c r="E6" s="85"/>
      <c r="F6" s="3">
        <f t="shared" si="0"/>
        <v>0</v>
      </c>
      <c r="G6" s="3">
        <f t="shared" si="1"/>
        <v>0</v>
      </c>
      <c r="H6" s="84"/>
      <c r="I6" s="86"/>
    </row>
    <row r="7" spans="1:9" ht="20.100000000000001" customHeight="1">
      <c r="A7" s="48" t="s">
        <v>51</v>
      </c>
      <c r="B7" s="2" t="s">
        <v>31</v>
      </c>
      <c r="C7" s="3">
        <v>16628</v>
      </c>
      <c r="D7" s="3">
        <v>17300</v>
      </c>
      <c r="E7" s="95">
        <f>AVERAGE(C7:D7)</f>
        <v>16964</v>
      </c>
      <c r="F7" s="3">
        <f t="shared" si="0"/>
        <v>1357120</v>
      </c>
      <c r="G7" s="3">
        <f t="shared" si="1"/>
        <v>1696400</v>
      </c>
      <c r="H7" s="3">
        <f>E7*125</f>
        <v>2120500</v>
      </c>
      <c r="I7" s="14"/>
    </row>
    <row r="8" spans="1:9" ht="20.100000000000001" customHeight="1">
      <c r="A8" s="72" t="s">
        <v>51</v>
      </c>
      <c r="B8" s="2" t="s">
        <v>59</v>
      </c>
      <c r="C8" s="3">
        <v>23363</v>
      </c>
      <c r="D8" s="3">
        <v>26100</v>
      </c>
      <c r="E8" s="95">
        <f t="shared" ref="E8:E9" si="2">AVERAGE(C8:D8)</f>
        <v>24731.5</v>
      </c>
      <c r="F8" s="3">
        <f t="shared" si="0"/>
        <v>1978520</v>
      </c>
      <c r="G8" s="3">
        <f t="shared" si="1"/>
        <v>2473150</v>
      </c>
      <c r="H8" s="3">
        <f t="shared" ref="H8:H9" si="3">E8*125</f>
        <v>3091437.5</v>
      </c>
      <c r="I8" s="74"/>
    </row>
    <row r="9" spans="1:9" ht="20.100000000000001" customHeight="1">
      <c r="A9" s="48" t="s">
        <v>51</v>
      </c>
      <c r="B9" s="2" t="s">
        <v>19</v>
      </c>
      <c r="C9" s="3">
        <v>15001</v>
      </c>
      <c r="D9" s="3">
        <v>14000</v>
      </c>
      <c r="E9" s="95">
        <f t="shared" si="2"/>
        <v>14500.5</v>
      </c>
      <c r="F9" s="3">
        <f t="shared" si="0"/>
        <v>1160040</v>
      </c>
      <c r="G9" s="3">
        <f t="shared" si="1"/>
        <v>1450050</v>
      </c>
      <c r="H9" s="3">
        <f t="shared" si="3"/>
        <v>1812562.5</v>
      </c>
      <c r="I9" s="14"/>
    </row>
    <row r="10" spans="1:9" ht="18" hidden="1" customHeight="1">
      <c r="A10" s="69"/>
      <c r="B10" s="70" t="s">
        <v>32</v>
      </c>
      <c r="C10" s="3"/>
      <c r="D10" s="3"/>
      <c r="E10" s="3"/>
      <c r="F10" s="3">
        <f t="shared" si="0"/>
        <v>0</v>
      </c>
      <c r="G10" s="3">
        <f t="shared" si="1"/>
        <v>0</v>
      </c>
      <c r="H10" s="71"/>
      <c r="I10" s="90"/>
    </row>
    <row r="11" spans="1:9" ht="18" hidden="1" customHeight="1">
      <c r="A11" s="48"/>
      <c r="B11" s="83" t="s">
        <v>18</v>
      </c>
      <c r="C11" s="3">
        <v>9950</v>
      </c>
      <c r="D11" s="3"/>
      <c r="E11" s="3"/>
      <c r="F11" s="3">
        <f t="shared" si="0"/>
        <v>0</v>
      </c>
      <c r="G11" s="3">
        <f t="shared" si="1"/>
        <v>0</v>
      </c>
      <c r="H11" s="84"/>
      <c r="I11" s="86" t="s">
        <v>46</v>
      </c>
    </row>
    <row r="12" spans="1:9" ht="20.100000000000001" customHeight="1">
      <c r="A12" s="48" t="s">
        <v>51</v>
      </c>
      <c r="B12" s="2" t="s">
        <v>41</v>
      </c>
      <c r="C12" s="3">
        <v>20664</v>
      </c>
      <c r="D12" s="3">
        <v>23500</v>
      </c>
      <c r="E12" s="95">
        <f>AVERAGE(C12:D12)</f>
        <v>22082</v>
      </c>
      <c r="F12" s="3">
        <f t="shared" si="0"/>
        <v>1766560</v>
      </c>
      <c r="G12" s="3">
        <f t="shared" si="1"/>
        <v>2208200</v>
      </c>
      <c r="H12" s="3">
        <f>E12*125</f>
        <v>2760250</v>
      </c>
      <c r="I12" s="49"/>
    </row>
    <row r="13" spans="1:9" ht="18" hidden="1" customHeight="1">
      <c r="A13" s="69"/>
      <c r="B13" s="70" t="s">
        <v>2</v>
      </c>
      <c r="C13" s="3">
        <v>22100</v>
      </c>
      <c r="D13" s="3"/>
      <c r="E13" s="3"/>
      <c r="F13" s="3">
        <f t="shared" si="0"/>
        <v>0</v>
      </c>
      <c r="G13" s="3">
        <f t="shared" si="1"/>
        <v>0</v>
      </c>
      <c r="H13" s="71"/>
      <c r="I13" s="91"/>
    </row>
    <row r="14" spans="1:9" ht="18" hidden="1" customHeight="1">
      <c r="A14" s="69"/>
      <c r="B14" s="66" t="s">
        <v>15</v>
      </c>
      <c r="C14" s="3"/>
      <c r="D14" s="3"/>
      <c r="E14" s="3"/>
      <c r="F14" s="3">
        <f t="shared" si="0"/>
        <v>0</v>
      </c>
      <c r="G14" s="3">
        <f t="shared" si="1"/>
        <v>0</v>
      </c>
      <c r="H14" s="84"/>
      <c r="I14" s="81"/>
    </row>
    <row r="15" spans="1:9" ht="20.100000000000001" customHeight="1">
      <c r="A15" s="48" t="s">
        <v>51</v>
      </c>
      <c r="B15" s="2" t="s">
        <v>13</v>
      </c>
      <c r="C15" s="3">
        <v>10974</v>
      </c>
      <c r="D15" s="3">
        <v>11300</v>
      </c>
      <c r="E15" s="95">
        <f>AVERAGE(C15:D15)</f>
        <v>11137</v>
      </c>
      <c r="F15" s="3">
        <f t="shared" si="0"/>
        <v>890960</v>
      </c>
      <c r="G15" s="3">
        <f t="shared" si="1"/>
        <v>1113700</v>
      </c>
      <c r="H15" s="3">
        <f>E15*125</f>
        <v>1392125</v>
      </c>
      <c r="I15" s="49"/>
    </row>
    <row r="16" spans="1:9" ht="18" hidden="1" customHeight="1">
      <c r="A16" s="48"/>
      <c r="B16" s="66" t="s">
        <v>55</v>
      </c>
      <c r="C16" s="3"/>
      <c r="D16" s="3">
        <v>22000</v>
      </c>
      <c r="E16" s="3"/>
      <c r="F16" s="3">
        <f t="shared" si="0"/>
        <v>0</v>
      </c>
      <c r="G16" s="3">
        <f t="shared" si="1"/>
        <v>0</v>
      </c>
      <c r="H16" s="105"/>
      <c r="I16" s="89"/>
    </row>
    <row r="17" spans="1:9" ht="20.100000000000001" customHeight="1">
      <c r="A17" s="48" t="s">
        <v>51</v>
      </c>
      <c r="B17" s="2" t="s">
        <v>60</v>
      </c>
      <c r="C17" s="3">
        <v>12054</v>
      </c>
      <c r="D17" s="3">
        <v>13800</v>
      </c>
      <c r="E17" s="95">
        <f>AVERAGE(C17:D17)</f>
        <v>12927</v>
      </c>
      <c r="F17" s="3">
        <f t="shared" si="0"/>
        <v>1034160</v>
      </c>
      <c r="G17" s="3">
        <f t="shared" si="1"/>
        <v>1292700</v>
      </c>
      <c r="H17" s="3">
        <f>E17*125</f>
        <v>1615875</v>
      </c>
      <c r="I17" s="49"/>
    </row>
    <row r="18" spans="1:9" ht="18" hidden="1" customHeight="1">
      <c r="A18" s="48"/>
      <c r="B18" s="66" t="s">
        <v>42</v>
      </c>
      <c r="C18" s="3">
        <v>19300</v>
      </c>
      <c r="D18" s="3"/>
      <c r="E18" s="3"/>
      <c r="F18" s="3">
        <f t="shared" si="0"/>
        <v>0</v>
      </c>
      <c r="G18" s="3">
        <f t="shared" si="1"/>
        <v>0</v>
      </c>
      <c r="H18" s="105"/>
      <c r="I18" s="92"/>
    </row>
    <row r="19" spans="1:9" ht="20.100000000000001" customHeight="1">
      <c r="A19" s="69" t="s">
        <v>51</v>
      </c>
      <c r="B19" s="2" t="s">
        <v>61</v>
      </c>
      <c r="C19" s="3">
        <v>21110</v>
      </c>
      <c r="D19" s="3">
        <v>23600</v>
      </c>
      <c r="E19" s="95">
        <f t="shared" ref="E19:E20" si="4">AVERAGE(C19:D19)</f>
        <v>22355</v>
      </c>
      <c r="F19" s="3">
        <f t="shared" si="0"/>
        <v>1788400</v>
      </c>
      <c r="G19" s="3">
        <f t="shared" si="1"/>
        <v>2235500</v>
      </c>
      <c r="H19" s="3">
        <f t="shared" ref="H19:H20" si="5">E19*125</f>
        <v>2794375</v>
      </c>
      <c r="I19" s="49"/>
    </row>
    <row r="20" spans="1:9" ht="20.100000000000001" customHeight="1">
      <c r="A20" s="48" t="s">
        <v>51</v>
      </c>
      <c r="B20" s="2" t="s">
        <v>43</v>
      </c>
      <c r="C20" s="3">
        <v>33416</v>
      </c>
      <c r="D20" s="3">
        <v>27400</v>
      </c>
      <c r="E20" s="95">
        <f t="shared" si="4"/>
        <v>30408</v>
      </c>
      <c r="F20" s="3">
        <f t="shared" si="0"/>
        <v>2432640</v>
      </c>
      <c r="G20" s="3">
        <f t="shared" si="1"/>
        <v>3040800</v>
      </c>
      <c r="H20" s="3">
        <f t="shared" si="5"/>
        <v>3801000</v>
      </c>
      <c r="I20" s="49"/>
    </row>
    <row r="21" spans="1:9" ht="18" hidden="1" customHeight="1">
      <c r="A21" s="48"/>
      <c r="B21" s="66" t="s">
        <v>26</v>
      </c>
      <c r="C21" s="3"/>
      <c r="D21" s="3"/>
      <c r="E21" s="3"/>
      <c r="F21" s="3">
        <f t="shared" si="0"/>
        <v>0</v>
      </c>
      <c r="G21" s="3">
        <f t="shared" si="1"/>
        <v>0</v>
      </c>
      <c r="H21" s="105"/>
      <c r="I21" s="93"/>
    </row>
    <row r="22" spans="1:9" ht="20.100000000000001" customHeight="1">
      <c r="A22" s="69" t="s">
        <v>51</v>
      </c>
      <c r="B22" s="2" t="s">
        <v>62</v>
      </c>
      <c r="C22" s="3">
        <v>28464</v>
      </c>
      <c r="D22" s="3">
        <v>30100</v>
      </c>
      <c r="E22" s="95">
        <f t="shared" ref="E22:E24" si="6">AVERAGE(C22:D22)</f>
        <v>29282</v>
      </c>
      <c r="F22" s="3">
        <f t="shared" si="0"/>
        <v>2342560</v>
      </c>
      <c r="G22" s="3">
        <f t="shared" si="1"/>
        <v>2928200</v>
      </c>
      <c r="H22" s="3">
        <f t="shared" ref="H22:H23" si="7">E22*125</f>
        <v>3660250</v>
      </c>
      <c r="I22" s="47"/>
    </row>
    <row r="23" spans="1:9" ht="20.100000000000001" customHeight="1">
      <c r="A23" s="69" t="s">
        <v>51</v>
      </c>
      <c r="B23" s="2" t="s">
        <v>63</v>
      </c>
      <c r="C23" s="3">
        <v>32804</v>
      </c>
      <c r="D23" s="3">
        <v>41800</v>
      </c>
      <c r="E23" s="95">
        <f t="shared" si="6"/>
        <v>37302</v>
      </c>
      <c r="F23" s="3">
        <f t="shared" si="0"/>
        <v>2984160</v>
      </c>
      <c r="G23" s="3">
        <f t="shared" si="1"/>
        <v>3730200</v>
      </c>
      <c r="H23" s="3">
        <f t="shared" si="7"/>
        <v>4662750</v>
      </c>
      <c r="I23" s="47"/>
    </row>
    <row r="24" spans="1:9" ht="20.100000000000001" customHeight="1">
      <c r="A24" s="69" t="s">
        <v>51</v>
      </c>
      <c r="B24" s="2" t="s">
        <v>64</v>
      </c>
      <c r="C24" s="3">
        <v>14388</v>
      </c>
      <c r="D24" s="3">
        <v>14700</v>
      </c>
      <c r="E24" s="95">
        <f t="shared" si="6"/>
        <v>14544</v>
      </c>
      <c r="F24" s="3">
        <f t="shared" si="0"/>
        <v>1163520</v>
      </c>
      <c r="G24" s="3">
        <f t="shared" si="1"/>
        <v>1454400</v>
      </c>
      <c r="H24" s="3">
        <f>E24*137</f>
        <v>1992528</v>
      </c>
      <c r="I24" s="47"/>
    </row>
    <row r="25" spans="1:9" ht="18" hidden="1" customHeight="1">
      <c r="A25" s="69"/>
      <c r="B25" s="70" t="s">
        <v>44</v>
      </c>
      <c r="C25" s="3">
        <v>27500</v>
      </c>
      <c r="D25" s="3"/>
      <c r="E25" s="3"/>
      <c r="F25" s="3">
        <f t="shared" si="0"/>
        <v>0</v>
      </c>
      <c r="G25" s="3">
        <f t="shared" si="1"/>
        <v>0</v>
      </c>
      <c r="H25" s="71"/>
      <c r="I25" s="94"/>
    </row>
    <row r="26" spans="1:9" ht="18" hidden="1" customHeight="1">
      <c r="A26" s="69"/>
      <c r="B26" s="70" t="s">
        <v>14</v>
      </c>
      <c r="C26" s="3"/>
      <c r="D26" s="3">
        <v>10900</v>
      </c>
      <c r="E26" s="3"/>
      <c r="F26" s="3">
        <f t="shared" si="0"/>
        <v>0</v>
      </c>
      <c r="G26" s="3">
        <f t="shared" si="1"/>
        <v>0</v>
      </c>
      <c r="H26" s="3"/>
      <c r="I26" s="47"/>
    </row>
    <row r="27" spans="1:9" ht="18" hidden="1" customHeight="1">
      <c r="A27" s="69"/>
      <c r="B27" s="66" t="s">
        <v>33</v>
      </c>
      <c r="C27" s="3"/>
      <c r="D27" s="3"/>
      <c r="E27" s="3"/>
      <c r="F27" s="3">
        <f t="shared" si="0"/>
        <v>0</v>
      </c>
      <c r="G27" s="3">
        <f t="shared" si="1"/>
        <v>0</v>
      </c>
      <c r="H27" s="84"/>
      <c r="I27" s="87"/>
    </row>
    <row r="28" spans="1:9" ht="20.100000000000001" customHeight="1">
      <c r="A28" s="48" t="s">
        <v>51</v>
      </c>
      <c r="B28" s="2" t="s">
        <v>66</v>
      </c>
      <c r="C28" s="3">
        <v>11315</v>
      </c>
      <c r="D28" s="3">
        <v>13400</v>
      </c>
      <c r="E28" s="95">
        <f>AVERAGE(C28:D28)</f>
        <v>12357.5</v>
      </c>
      <c r="F28" s="3">
        <f t="shared" si="0"/>
        <v>988600</v>
      </c>
      <c r="G28" s="3">
        <f t="shared" si="1"/>
        <v>1235750</v>
      </c>
      <c r="H28" s="3">
        <f>E28*125</f>
        <v>1544687.5</v>
      </c>
      <c r="I28" s="47"/>
    </row>
    <row r="29" spans="1:9" ht="18" hidden="1" customHeight="1">
      <c r="A29" s="48"/>
      <c r="B29" s="66" t="s">
        <v>34</v>
      </c>
      <c r="C29" s="3"/>
      <c r="D29" s="3"/>
      <c r="E29" s="3"/>
      <c r="F29" s="3">
        <f t="shared" si="0"/>
        <v>0</v>
      </c>
      <c r="G29" s="3">
        <f t="shared" si="1"/>
        <v>0</v>
      </c>
      <c r="H29" s="105"/>
      <c r="I29" s="93"/>
    </row>
    <row r="30" spans="1:9" ht="20.100000000000001" customHeight="1">
      <c r="A30" s="69" t="s">
        <v>51</v>
      </c>
      <c r="B30" s="2" t="s">
        <v>65</v>
      </c>
      <c r="C30" s="3">
        <v>10112</v>
      </c>
      <c r="D30" s="3">
        <v>12200</v>
      </c>
      <c r="E30" s="95">
        <f>AVERAGE(C30:D30)</f>
        <v>11156</v>
      </c>
      <c r="F30" s="3">
        <f t="shared" si="0"/>
        <v>892480</v>
      </c>
      <c r="G30" s="3">
        <f t="shared" si="1"/>
        <v>1115600</v>
      </c>
      <c r="H30" s="3">
        <f t="shared" ref="H30:H31" si="8">E30*125</f>
        <v>1394500</v>
      </c>
      <c r="I30" s="47"/>
    </row>
    <row r="31" spans="1:9" ht="20.100000000000001" customHeight="1">
      <c r="A31" s="48" t="s">
        <v>51</v>
      </c>
      <c r="B31" s="2" t="s">
        <v>53</v>
      </c>
      <c r="C31" s="3">
        <v>14821</v>
      </c>
      <c r="D31" s="3">
        <v>14600</v>
      </c>
      <c r="E31" s="95">
        <f t="shared" ref="E31" si="9">AVERAGE(C31:D31)</f>
        <v>14710.5</v>
      </c>
      <c r="F31" s="3">
        <f t="shared" si="0"/>
        <v>1176840</v>
      </c>
      <c r="G31" s="3">
        <f t="shared" si="1"/>
        <v>1471050</v>
      </c>
      <c r="H31" s="3">
        <f t="shared" si="8"/>
        <v>1838812.5</v>
      </c>
      <c r="I31" s="14"/>
    </row>
    <row r="32" spans="1:9" ht="18" hidden="1" customHeight="1">
      <c r="A32" s="48"/>
      <c r="B32" s="66" t="s">
        <v>56</v>
      </c>
      <c r="C32" s="3"/>
      <c r="D32" s="3">
        <v>12900</v>
      </c>
      <c r="E32" s="3"/>
      <c r="F32" s="3">
        <f t="shared" si="0"/>
        <v>0</v>
      </c>
      <c r="G32" s="3">
        <f t="shared" si="1"/>
        <v>0</v>
      </c>
      <c r="H32" s="105"/>
      <c r="I32" s="89"/>
    </row>
    <row r="33" spans="1:17" ht="20.100000000000001" customHeight="1">
      <c r="A33" s="69" t="s">
        <v>51</v>
      </c>
      <c r="B33" s="2" t="s">
        <v>68</v>
      </c>
      <c r="C33" s="3">
        <v>28786</v>
      </c>
      <c r="D33" s="3">
        <v>29100</v>
      </c>
      <c r="E33" s="95">
        <f t="shared" ref="E33:E36" si="10">AVERAGE(C33:D33)</f>
        <v>28943</v>
      </c>
      <c r="F33" s="3">
        <f t="shared" si="0"/>
        <v>2315440</v>
      </c>
      <c r="G33" s="3">
        <f t="shared" si="1"/>
        <v>2894300</v>
      </c>
      <c r="H33" s="3">
        <f t="shared" ref="H33:H36" si="11">E33*125</f>
        <v>3617875</v>
      </c>
      <c r="I33" s="14"/>
    </row>
    <row r="34" spans="1:17" ht="20.100000000000001" customHeight="1">
      <c r="A34" s="48" t="s">
        <v>51</v>
      </c>
      <c r="B34" s="2" t="s">
        <v>67</v>
      </c>
      <c r="C34" s="3">
        <v>232883</v>
      </c>
      <c r="D34" s="3">
        <v>26400</v>
      </c>
      <c r="E34" s="95">
        <f t="shared" si="10"/>
        <v>129641.5</v>
      </c>
      <c r="F34" s="3">
        <f t="shared" si="0"/>
        <v>10371320</v>
      </c>
      <c r="G34" s="3">
        <f t="shared" si="1"/>
        <v>12964150</v>
      </c>
      <c r="H34" s="3">
        <f t="shared" si="11"/>
        <v>16205187.5</v>
      </c>
      <c r="I34" s="14"/>
    </row>
    <row r="35" spans="1:17" ht="20.100000000000001" customHeight="1">
      <c r="A35" s="48" t="s">
        <v>51</v>
      </c>
      <c r="B35" s="2" t="s">
        <v>69</v>
      </c>
      <c r="C35" s="3">
        <v>15798</v>
      </c>
      <c r="D35" s="3">
        <v>14400</v>
      </c>
      <c r="E35" s="95">
        <f t="shared" si="10"/>
        <v>15099</v>
      </c>
      <c r="F35" s="3">
        <f t="shared" si="0"/>
        <v>1207920</v>
      </c>
      <c r="G35" s="3">
        <f t="shared" si="1"/>
        <v>1509900</v>
      </c>
      <c r="H35" s="3">
        <f t="shared" si="11"/>
        <v>1887375</v>
      </c>
      <c r="I35" s="14"/>
    </row>
    <row r="36" spans="1:17" ht="20.100000000000001" customHeight="1">
      <c r="A36" s="69" t="s">
        <v>51</v>
      </c>
      <c r="B36" s="2" t="s">
        <v>70</v>
      </c>
      <c r="C36" s="3">
        <v>12750</v>
      </c>
      <c r="D36" s="3">
        <v>12400</v>
      </c>
      <c r="E36" s="95">
        <f t="shared" si="10"/>
        <v>12575</v>
      </c>
      <c r="F36" s="3">
        <f t="shared" si="0"/>
        <v>1006000</v>
      </c>
      <c r="G36" s="3">
        <f t="shared" si="1"/>
        <v>1257500</v>
      </c>
      <c r="H36" s="3">
        <f t="shared" si="11"/>
        <v>1571875</v>
      </c>
      <c r="I36" s="14"/>
      <c r="Q36" s="116"/>
    </row>
    <row r="37" spans="1:17" ht="18" hidden="1" customHeight="1">
      <c r="A37" s="48"/>
      <c r="B37" s="70" t="s">
        <v>35</v>
      </c>
      <c r="C37" s="3"/>
      <c r="D37" s="3"/>
      <c r="E37" s="3"/>
      <c r="F37" s="3">
        <f t="shared" si="0"/>
        <v>0</v>
      </c>
      <c r="G37" s="3">
        <f t="shared" si="1"/>
        <v>0</v>
      </c>
      <c r="H37" s="71"/>
      <c r="I37" s="94"/>
    </row>
    <row r="38" spans="1:17" ht="18" hidden="1" customHeight="1">
      <c r="A38" s="48"/>
      <c r="B38" s="2" t="s">
        <v>22</v>
      </c>
      <c r="C38" s="3">
        <v>19500</v>
      </c>
      <c r="D38" s="3"/>
      <c r="E38" s="3"/>
      <c r="F38" s="3">
        <f t="shared" si="0"/>
        <v>0</v>
      </c>
      <c r="G38" s="3">
        <f t="shared" si="1"/>
        <v>0</v>
      </c>
      <c r="H38" s="3"/>
      <c r="I38" s="49"/>
    </row>
    <row r="39" spans="1:17" ht="18" hidden="1" customHeight="1">
      <c r="A39" s="48"/>
      <c r="B39" s="83" t="s">
        <v>36</v>
      </c>
      <c r="C39" s="3"/>
      <c r="D39" s="3">
        <v>15800</v>
      </c>
      <c r="E39" s="3"/>
      <c r="F39" s="3">
        <f t="shared" si="0"/>
        <v>0</v>
      </c>
      <c r="G39" s="3">
        <f t="shared" si="1"/>
        <v>0</v>
      </c>
      <c r="H39" s="84"/>
      <c r="I39" s="87"/>
    </row>
    <row r="40" spans="1:17" ht="20.100000000000001" customHeight="1">
      <c r="A40" s="48" t="s">
        <v>51</v>
      </c>
      <c r="B40" s="2" t="s">
        <v>16</v>
      </c>
      <c r="C40" s="3">
        <v>17761</v>
      </c>
      <c r="D40" s="3">
        <v>17900</v>
      </c>
      <c r="E40" s="95">
        <f>AVERAGE(C40:D40)</f>
        <v>17830.5</v>
      </c>
      <c r="F40" s="3">
        <f t="shared" si="0"/>
        <v>1426440</v>
      </c>
      <c r="G40" s="3">
        <f t="shared" si="1"/>
        <v>1783050</v>
      </c>
      <c r="H40" s="3">
        <f>E40*125</f>
        <v>2228812.5</v>
      </c>
      <c r="I40" s="47"/>
    </row>
    <row r="41" spans="1:17" ht="18" hidden="1" customHeight="1">
      <c r="A41" s="48"/>
      <c r="B41" s="70" t="s">
        <v>10</v>
      </c>
      <c r="C41" s="3"/>
      <c r="D41" s="3"/>
      <c r="E41" s="3"/>
      <c r="F41" s="3">
        <f t="shared" si="0"/>
        <v>0</v>
      </c>
      <c r="G41" s="3">
        <f t="shared" si="1"/>
        <v>0</v>
      </c>
      <c r="H41" s="71"/>
      <c r="I41" s="94"/>
    </row>
    <row r="42" spans="1:17" ht="18" hidden="1" customHeight="1">
      <c r="A42" s="48"/>
      <c r="B42" s="2" t="s">
        <v>11</v>
      </c>
      <c r="C42" s="3">
        <v>18200</v>
      </c>
      <c r="D42" s="3"/>
      <c r="E42" s="3"/>
      <c r="F42" s="3">
        <f t="shared" si="0"/>
        <v>0</v>
      </c>
      <c r="G42" s="3">
        <f t="shared" si="1"/>
        <v>0</v>
      </c>
      <c r="H42" s="3"/>
      <c r="I42" s="49" t="s">
        <v>47</v>
      </c>
    </row>
    <row r="43" spans="1:17" ht="18" hidden="1" customHeight="1">
      <c r="A43" s="48"/>
      <c r="B43" s="83" t="s">
        <v>37</v>
      </c>
      <c r="C43" s="3">
        <v>16700</v>
      </c>
      <c r="D43" s="3"/>
      <c r="E43" s="3"/>
      <c r="F43" s="3">
        <f t="shared" si="0"/>
        <v>0</v>
      </c>
      <c r="G43" s="3">
        <f t="shared" si="1"/>
        <v>0</v>
      </c>
      <c r="H43" s="106"/>
      <c r="I43" s="82"/>
    </row>
    <row r="44" spans="1:17" ht="20.100000000000001" customHeight="1">
      <c r="A44" s="46" t="s">
        <v>51</v>
      </c>
      <c r="B44" s="2" t="s">
        <v>38</v>
      </c>
      <c r="C44" s="3">
        <v>20535</v>
      </c>
      <c r="D44" s="3">
        <v>21500</v>
      </c>
      <c r="E44" s="95">
        <f>AVERAGE(C44:D44)</f>
        <v>21017.5</v>
      </c>
      <c r="F44" s="3">
        <f t="shared" si="0"/>
        <v>1681400</v>
      </c>
      <c r="G44" s="3">
        <f t="shared" si="1"/>
        <v>2101750</v>
      </c>
      <c r="H44" s="3">
        <f>E44*125</f>
        <v>2627187.5</v>
      </c>
      <c r="I44" s="47"/>
    </row>
    <row r="45" spans="1:17" ht="14.25" hidden="1">
      <c r="B45" s="66" t="s">
        <v>39</v>
      </c>
      <c r="C45" s="3"/>
      <c r="D45" s="3"/>
      <c r="E45" s="3"/>
      <c r="F45" s="3">
        <f t="shared" si="0"/>
        <v>0</v>
      </c>
      <c r="G45" s="3">
        <f t="shared" si="1"/>
        <v>0</v>
      </c>
      <c r="H45" s="106"/>
      <c r="I45" s="67"/>
    </row>
    <row r="46" spans="1:17" ht="14.25" hidden="1">
      <c r="B46" s="66" t="s">
        <v>17</v>
      </c>
      <c r="C46" s="3"/>
      <c r="D46" s="3"/>
      <c r="E46" s="3"/>
      <c r="F46" s="3">
        <f t="shared" si="0"/>
        <v>0</v>
      </c>
      <c r="G46" s="3">
        <f t="shared" si="1"/>
        <v>0</v>
      </c>
      <c r="H46" s="106"/>
      <c r="I46" s="82" t="s">
        <v>48</v>
      </c>
    </row>
    <row r="47" spans="1:17" ht="18" hidden="1" customHeight="1">
      <c r="A47" s="48"/>
      <c r="B47" s="2" t="s">
        <v>1</v>
      </c>
      <c r="C47" s="3"/>
      <c r="D47" s="3">
        <v>25400</v>
      </c>
      <c r="E47" s="3"/>
      <c r="F47" s="3">
        <f t="shared" si="0"/>
        <v>0</v>
      </c>
      <c r="G47" s="3">
        <f t="shared" si="1"/>
        <v>0</v>
      </c>
      <c r="H47" s="106"/>
      <c r="I47" s="67"/>
    </row>
    <row r="48" spans="1:17" ht="14.25" hidden="1">
      <c r="B48" s="66" t="s">
        <v>40</v>
      </c>
      <c r="C48" s="3"/>
      <c r="D48" s="3"/>
      <c r="E48" s="3"/>
      <c r="F48" s="3">
        <f t="shared" si="0"/>
        <v>0</v>
      </c>
      <c r="G48" s="3">
        <f t="shared" si="1"/>
        <v>0</v>
      </c>
      <c r="H48" s="106"/>
      <c r="I48" s="67"/>
    </row>
    <row r="49" spans="1:9" ht="14.25" hidden="1">
      <c r="B49" s="66" t="s">
        <v>0</v>
      </c>
      <c r="C49" s="3">
        <v>14800</v>
      </c>
      <c r="D49" s="3"/>
      <c r="E49" s="3"/>
      <c r="F49" s="3">
        <f t="shared" si="0"/>
        <v>0</v>
      </c>
      <c r="G49" s="3">
        <f t="shared" si="1"/>
        <v>0</v>
      </c>
      <c r="H49" s="106"/>
      <c r="I49" s="67"/>
    </row>
    <row r="50" spans="1:9" ht="14.25" hidden="1">
      <c r="B50" s="66" t="s">
        <v>57</v>
      </c>
      <c r="C50" s="3"/>
      <c r="D50" s="3">
        <v>13200</v>
      </c>
      <c r="E50" s="3"/>
      <c r="F50" s="3">
        <f t="shared" si="0"/>
        <v>0</v>
      </c>
      <c r="G50" s="3">
        <f t="shared" si="1"/>
        <v>0</v>
      </c>
      <c r="H50" s="106"/>
    </row>
    <row r="51" spans="1:9" ht="14.25" hidden="1">
      <c r="B51" s="66" t="s">
        <v>28</v>
      </c>
      <c r="C51" s="3"/>
      <c r="D51" s="3"/>
      <c r="E51" s="3"/>
      <c r="F51" s="3">
        <f t="shared" si="0"/>
        <v>0</v>
      </c>
      <c r="G51" s="3">
        <f t="shared" si="1"/>
        <v>0</v>
      </c>
      <c r="H51" s="106"/>
    </row>
    <row r="52" spans="1:9" ht="20.100000000000001" customHeight="1">
      <c r="A52" s="46" t="s">
        <v>51</v>
      </c>
      <c r="B52" s="2" t="s">
        <v>71</v>
      </c>
      <c r="C52" s="3">
        <v>30691</v>
      </c>
      <c r="D52" s="3">
        <v>34600</v>
      </c>
      <c r="E52" s="95">
        <f t="shared" ref="E52:E53" si="12">AVERAGE(C52:D52)</f>
        <v>32645.5</v>
      </c>
      <c r="F52" s="3">
        <f t="shared" si="0"/>
        <v>2611640</v>
      </c>
      <c r="G52" s="3">
        <f t="shared" si="1"/>
        <v>3264550</v>
      </c>
      <c r="H52" s="3">
        <f t="shared" ref="H52:H53" si="13">E52*125</f>
        <v>4080687.5</v>
      </c>
      <c r="I52" s="14"/>
    </row>
    <row r="53" spans="1:9" ht="20.100000000000001" customHeight="1">
      <c r="A53" s="46" t="s">
        <v>51</v>
      </c>
      <c r="B53" s="2" t="s">
        <v>72</v>
      </c>
      <c r="C53" s="3">
        <v>18356</v>
      </c>
      <c r="D53" s="3">
        <v>20100</v>
      </c>
      <c r="E53" s="95">
        <f t="shared" si="12"/>
        <v>19228</v>
      </c>
      <c r="F53" s="3">
        <f t="shared" si="0"/>
        <v>1538240</v>
      </c>
      <c r="G53" s="3">
        <f t="shared" si="1"/>
        <v>1922800</v>
      </c>
      <c r="H53" s="3">
        <f t="shared" si="13"/>
        <v>2403500</v>
      </c>
      <c r="I53" s="14"/>
    </row>
  </sheetData>
  <autoFilter ref="A1:I53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7:I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USER</cp:lastModifiedBy>
  <cp:lastPrinted>2024-01-22T11:19:48Z</cp:lastPrinted>
  <dcterms:created xsi:type="dcterms:W3CDTF">2024-01-09T23:06:58Z</dcterms:created>
  <dcterms:modified xsi:type="dcterms:W3CDTF">2025-08-10T16:42:55Z</dcterms:modified>
</cp:coreProperties>
</file>