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פרטי\למען דעת\מחיר למשתכן\תשרי תשפ''ה\"/>
    </mc:Choice>
  </mc:AlternateContent>
  <xr:revisionPtr revIDLastSave="0" documentId="13_ncr:1_{32C5E7BC-ABBA-40D0-88FC-4B39282D4441}" xr6:coauthVersionLast="46" xr6:coauthVersionMax="47" xr10:uidLastSave="{00000000-0000-0000-0000-000000000000}"/>
  <bookViews>
    <workbookView xWindow="-120" yWindow="-120" windowWidth="29040" windowHeight="15840" xr2:uid="{935FE48C-39DB-4E51-A3B2-8CB268FFDF90}"/>
  </bookViews>
  <sheets>
    <sheet name="ראשי" sheetId="2" r:id="rId1"/>
    <sheet name="ממוצעים" sheetId="5" state="hidden" r:id="rId2"/>
    <sheet name="מחירים שוק חופשי" sheetId="4" r:id="rId3"/>
  </sheets>
  <definedNames>
    <definedName name="_xlnm._FilterDatabase" localSheetId="2" hidden="1">'מחירים שוק חופשי'!$A$1:$I$35</definedName>
    <definedName name="_xlnm._FilterDatabase" localSheetId="0" hidden="1">ראשי!$A$3:$O$17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2" l="1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H9" i="2"/>
  <c r="H6" i="2"/>
  <c r="H5" i="2"/>
  <c r="H4" i="2"/>
  <c r="H17" i="2"/>
  <c r="H14" i="2"/>
  <c r="H16" i="2"/>
  <c r="H13" i="2"/>
  <c r="H7" i="2"/>
  <c r="H10" i="2"/>
  <c r="H8" i="2"/>
  <c r="H15" i="2"/>
  <c r="H12" i="2"/>
  <c r="H11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G4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E17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E5" i="2"/>
  <c r="E6" i="2"/>
  <c r="E7" i="2"/>
  <c r="E8" i="2"/>
  <c r="E9" i="2"/>
  <c r="E10" i="2"/>
  <c r="E11" i="2"/>
  <c r="E12" i="2"/>
  <c r="E13" i="2"/>
  <c r="E14" i="2"/>
  <c r="E15" i="2"/>
  <c r="E16" i="2"/>
  <c r="E4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E22" i="4"/>
  <c r="G22" i="4" s="1"/>
  <c r="G23" i="4"/>
  <c r="G24" i="4"/>
  <c r="G26" i="4"/>
  <c r="G28" i="4"/>
  <c r="G29" i="4"/>
  <c r="G31" i="4"/>
  <c r="G32" i="4"/>
  <c r="G35" i="4"/>
  <c r="G3" i="4"/>
  <c r="G4" i="4"/>
  <c r="G6" i="4"/>
  <c r="G7" i="4"/>
  <c r="G8" i="4"/>
  <c r="G12" i="4"/>
  <c r="G16" i="4"/>
  <c r="G17" i="4"/>
  <c r="G18" i="4"/>
  <c r="G19" i="4"/>
  <c r="G20" i="4"/>
  <c r="G21" i="4"/>
  <c r="F3" i="4"/>
  <c r="F4" i="4"/>
  <c r="F6" i="4"/>
  <c r="F7" i="4"/>
  <c r="F8" i="4"/>
  <c r="F12" i="4"/>
  <c r="F16" i="4"/>
  <c r="F17" i="4"/>
  <c r="F18" i="4"/>
  <c r="F19" i="4"/>
  <c r="F20" i="4"/>
  <c r="F21" i="4"/>
  <c r="F22" i="4"/>
  <c r="F23" i="4"/>
  <c r="F24" i="4"/>
  <c r="F26" i="4"/>
  <c r="F28" i="4"/>
  <c r="F29" i="4"/>
  <c r="F31" i="4"/>
  <c r="F32" i="4"/>
  <c r="F35" i="4"/>
  <c r="E34" i="4"/>
  <c r="G34" i="4" s="1"/>
  <c r="E33" i="4"/>
  <c r="F33" i="4" s="1"/>
  <c r="E30" i="4"/>
  <c r="F30" i="4" s="1"/>
  <c r="E27" i="4"/>
  <c r="G27" i="4" s="1"/>
  <c r="E25" i="4"/>
  <c r="G25" i="4" s="1"/>
  <c r="E15" i="4"/>
  <c r="G15" i="4" s="1"/>
  <c r="E14" i="4"/>
  <c r="G14" i="4" s="1"/>
  <c r="E13" i="4"/>
  <c r="G13" i="4" s="1"/>
  <c r="E11" i="4"/>
  <c r="F11" i="4" s="1"/>
  <c r="E10" i="4"/>
  <c r="F10" i="4" s="1"/>
  <c r="E9" i="4"/>
  <c r="F9" i="4" s="1"/>
  <c r="E5" i="4"/>
  <c r="F5" i="4" s="1"/>
  <c r="E2" i="4"/>
  <c r="F2" i="4" s="1"/>
  <c r="F15" i="4" l="1"/>
  <c r="F34" i="4"/>
  <c r="G2" i="4"/>
  <c r="G33" i="4"/>
  <c r="G10" i="4"/>
  <c r="F14" i="4"/>
  <c r="F25" i="4"/>
  <c r="G9" i="4"/>
  <c r="F27" i="4"/>
  <c r="G11" i="4"/>
  <c r="F13" i="4"/>
  <c r="G30" i="4"/>
  <c r="G5" i="4"/>
  <c r="I2" i="5"/>
  <c r="L2" i="5"/>
  <c r="I3" i="5"/>
  <c r="L3" i="5"/>
  <c r="I4" i="5"/>
  <c r="L4" i="5"/>
  <c r="I5" i="5"/>
  <c r="L5" i="5"/>
  <c r="I6" i="5"/>
  <c r="L6" i="5"/>
  <c r="I7" i="5"/>
  <c r="L7" i="5"/>
  <c r="I8" i="5"/>
  <c r="L8" i="5"/>
  <c r="I9" i="5"/>
  <c r="L9" i="5"/>
  <c r="I10" i="5"/>
  <c r="L10" i="5"/>
  <c r="I11" i="5"/>
  <c r="A10" i="5" s="1"/>
  <c r="L11" i="5"/>
  <c r="B10" i="5" s="1"/>
  <c r="I12" i="5"/>
  <c r="L12" i="5"/>
  <c r="I13" i="5"/>
  <c r="L13" i="5"/>
  <c r="I14" i="5"/>
  <c r="L14" i="5"/>
  <c r="I15" i="5"/>
  <c r="L15" i="5"/>
  <c r="I16" i="5"/>
  <c r="A15" i="5" s="1"/>
  <c r="L16" i="5"/>
  <c r="B15" i="5" s="1"/>
  <c r="I17" i="5"/>
  <c r="L17" i="5"/>
  <c r="I18" i="5"/>
  <c r="L18" i="5"/>
  <c r="I19" i="5"/>
  <c r="A17" i="5" s="1"/>
  <c r="L19" i="5"/>
  <c r="B17" i="5" s="1"/>
  <c r="I20" i="5"/>
  <c r="L20" i="5"/>
  <c r="I21" i="5"/>
  <c r="L21" i="5"/>
  <c r="I22" i="5"/>
  <c r="L22" i="5"/>
  <c r="I23" i="5"/>
  <c r="L23" i="5"/>
  <c r="I24" i="5"/>
  <c r="A24" i="5" s="1"/>
  <c r="L24" i="5"/>
  <c r="B24" i="5" s="1"/>
  <c r="I25" i="5"/>
  <c r="L25" i="5"/>
  <c r="I26" i="5"/>
  <c r="L26" i="5"/>
  <c r="I27" i="5"/>
  <c r="L27" i="5"/>
  <c r="B20" i="5" l="1"/>
  <c r="B4" i="5"/>
  <c r="B2" i="5"/>
  <c r="A20" i="5"/>
  <c r="A4" i="5"/>
  <c r="A2" i="5"/>
  <c r="B7" i="5"/>
  <c r="A7" i="5"/>
</calcChain>
</file>

<file path=xl/sharedStrings.xml><?xml version="1.0" encoding="utf-8"?>
<sst xmlns="http://schemas.openxmlformats.org/spreadsheetml/2006/main" count="141" uniqueCount="86">
  <si>
    <t>רכסים</t>
  </si>
  <si>
    <t>-</t>
  </si>
  <si>
    <t>רחובות</t>
  </si>
  <si>
    <t>בני עי"ש</t>
  </si>
  <si>
    <t>אלעד</t>
  </si>
  <si>
    <t>רווח
לעומת
מחיר
שוק</t>
  </si>
  <si>
    <t>מענק</t>
  </si>
  <si>
    <t>יישוב</t>
  </si>
  <si>
    <t>הון עצמי נדרש</t>
  </si>
  <si>
    <t>שלושה חדרים</t>
  </si>
  <si>
    <t>ארבעה חדרים</t>
  </si>
  <si>
    <t>רווח
באחוזים
לעומת
מחיר
שוק</t>
  </si>
  <si>
    <t>מחיר לאחר הנחה</t>
  </si>
  <si>
    <t>מיקום
בסדר
ההגרלות</t>
  </si>
  <si>
    <t>דירות
לכלל
הציבור</t>
  </si>
  <si>
    <t>דירות
לבני
מקום</t>
  </si>
  <si>
    <r>
      <t>קרית גת</t>
    </r>
    <r>
      <rPr>
        <sz val="9"/>
        <color theme="1"/>
        <rFont val="Adama"/>
        <charset val="177"/>
      </rPr>
      <t>-צפון</t>
    </r>
  </si>
  <si>
    <t>אחוזי
זכייה
נכון
לעכשיו</t>
  </si>
  <si>
    <t>קרית גת-מערב</t>
  </si>
  <si>
    <t>קרית גת-צפון</t>
  </si>
  <si>
    <t>דירת 3 חדרים של 80 מ"ר</t>
  </si>
  <si>
    <t>דירת 4 חדרים של 100 מ"ר</t>
  </si>
  <si>
    <t>דימונה</t>
  </si>
  <si>
    <t>מגדל העמק</t>
  </si>
  <si>
    <t>בת ים</t>
  </si>
  <si>
    <t>קרית ביאליק</t>
  </si>
  <si>
    <t>ראשון לציון</t>
  </si>
  <si>
    <t>בית שאן</t>
  </si>
  <si>
    <t>באר שבע</t>
  </si>
  <si>
    <t>אכסאל</t>
  </si>
  <si>
    <t>דיר אל אסד</t>
  </si>
  <si>
    <t>צור הדסה</t>
  </si>
  <si>
    <t>ראשלצ</t>
  </si>
  <si>
    <t>4</t>
  </si>
  <si>
    <t>3</t>
  </si>
  <si>
    <t>ירושלים-רמות</t>
  </si>
  <si>
    <t>כרמי גת</t>
  </si>
  <si>
    <t>כל העיר</t>
  </si>
  <si>
    <r>
      <rPr>
        <b/>
        <u/>
        <sz val="10"/>
        <color rgb="FFFF0000"/>
        <rFont val="Arial"/>
        <family val="2"/>
        <scheme val="minor"/>
      </rPr>
      <t>הערות</t>
    </r>
    <r>
      <rPr>
        <b/>
        <sz val="10"/>
        <color rgb="FFFF0000"/>
        <rFont val="Arial"/>
        <family val="2"/>
        <scheme val="minor"/>
      </rPr>
      <t>:
מה בדקתי ?</t>
    </r>
  </si>
  <si>
    <t>פסגת רמות-ממוצע שלי</t>
  </si>
  <si>
    <t>שכ' רמות</t>
  </si>
  <si>
    <t>פעם קודמת</t>
  </si>
  <si>
    <t>קרית משה</t>
  </si>
  <si>
    <t>קרית שלום</t>
  </si>
  <si>
    <t>כל העיר (רק די' ישנות)</t>
  </si>
  <si>
    <t>אפרת</t>
  </si>
  <si>
    <t>תל אביב יפו</t>
  </si>
  <si>
    <t>כל העיר (אתר יד 2)</t>
  </si>
  <si>
    <t>23600 במדלן</t>
  </si>
  <si>
    <t>התרשמות מיד 2</t>
  </si>
  <si>
    <t>אילת</t>
  </si>
  <si>
    <t>אשקלון</t>
  </si>
  <si>
    <t>בית דגן</t>
  </si>
  <si>
    <t>ירושלים</t>
  </si>
  <si>
    <t>מודיעין</t>
  </si>
  <si>
    <t>מעלות תרשיחא</t>
  </si>
  <si>
    <t>פתח תקוה</t>
  </si>
  <si>
    <t>צפת</t>
  </si>
  <si>
    <t>קרית מלאכי</t>
  </si>
  <si>
    <t>קרית עקרון</t>
  </si>
  <si>
    <t>קרית שמונה</t>
  </si>
  <si>
    <t>רחובות קרית משה</t>
  </si>
  <si>
    <t>בית שמש</t>
  </si>
  <si>
    <t>טירת הכרמל</t>
  </si>
  <si>
    <t>יהוד</t>
  </si>
  <si>
    <t>כפר סבא</t>
  </si>
  <si>
    <t>סך
דירות
בהגרלה</t>
  </si>
  <si>
    <t>שמאות</t>
  </si>
  <si>
    <t>איזור השכונה</t>
  </si>
  <si>
    <t>כל העיר לפי יד 2</t>
  </si>
  <si>
    <t>רמה ה-1</t>
  </si>
  <si>
    <t>במדלן כל העיר 19,200</t>
  </si>
  <si>
    <t>במדלן כל העיר 22,600</t>
  </si>
  <si>
    <t>במדלן 8,600</t>
  </si>
  <si>
    <t>במדלן 9,700</t>
  </si>
  <si>
    <t>במדלן כל העיר 17,000</t>
  </si>
  <si>
    <t>במדלן כל העיר 27,200</t>
  </si>
  <si>
    <r>
      <t xml:space="preserve">בדיקה שלי מדלן </t>
    </r>
    <r>
      <rPr>
        <b/>
        <sz val="8"/>
        <color theme="1"/>
        <rFont val="Arial"/>
        <family val="2"/>
        <scheme val="minor"/>
      </rPr>
      <t>(+יד 2)</t>
    </r>
  </si>
  <si>
    <t>ממוצע</t>
  </si>
  <si>
    <t>שיטות חישוב נוספות</t>
  </si>
  <si>
    <t>הגרלה נוכחית</t>
  </si>
  <si>
    <t>יש</t>
  </si>
  <si>
    <t>רווח
לעומת
מחיר
השוק</t>
  </si>
  <si>
    <t>מחיר לאחר ההנחה</t>
  </si>
  <si>
    <t>הון עצמי הנדרש</t>
  </si>
  <si>
    <t>רווח
באחוזים
לעומת
מחיר
השוק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</si>
</sst>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 * #,##0.00_ ;_ * \-#,##0.00_ ;_ * &quot;-&quot;??_ ;_ @_ "/>
    <numFmt numFmtId="164" formatCode="0.0%"/>
    <numFmt numFmtId="165" formatCode="_ * #,##0_ ;_ * \-#,##0_ ;_ * &quot;-&quot;??_ ;_ @_ "/>
    <numFmt numFmtId="166" formatCode="_ [$₪-40D]\ * #,##0_ ;_ [$₪-40D]\ * \-#,##0_ ;_ [$₪-40D]\ * &quot;-&quot;??_ ;_ @_ "/>
    <numFmt numFmtId="167" formatCode="&quot;₪&quot;\ #,##0"/>
    <numFmt numFmtId="168" formatCode="0.0"/>
  </numFmts>
  <fonts count="23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color theme="1"/>
      <name val="Adama"/>
      <charset val="177"/>
    </font>
    <font>
      <sz val="9"/>
      <color theme="1"/>
      <name val="Adama"/>
      <charset val="177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1"/>
      <color theme="1"/>
      <name val="Adama"/>
      <charset val="177"/>
    </font>
    <font>
      <sz val="11"/>
      <color theme="2" tint="-0.89999084444715716"/>
      <name val="Adama"/>
      <charset val="177"/>
    </font>
    <font>
      <b/>
      <sz val="13"/>
      <color theme="1"/>
      <name val="Adama"/>
      <charset val="177"/>
    </font>
    <font>
      <b/>
      <sz val="13"/>
      <name val="Adama"/>
      <charset val="177"/>
    </font>
    <font>
      <b/>
      <sz val="13"/>
      <color theme="0"/>
      <name val="Adama"/>
      <charset val="177"/>
    </font>
    <font>
      <b/>
      <sz val="15"/>
      <color theme="1"/>
      <name val="Adama"/>
      <charset val="177"/>
    </font>
    <font>
      <b/>
      <sz val="11"/>
      <color theme="1"/>
      <name val="Adama"/>
      <charset val="177"/>
    </font>
    <font>
      <sz val="9"/>
      <color rgb="FFFF0000"/>
      <name val="Arial"/>
      <family val="2"/>
      <charset val="177"/>
      <scheme val="minor"/>
    </font>
    <font>
      <b/>
      <sz val="10"/>
      <color rgb="FFFF0000"/>
      <name val="Arial"/>
      <family val="2"/>
      <scheme val="minor"/>
    </font>
    <font>
      <b/>
      <u/>
      <sz val="10"/>
      <color rgb="FFFF0000"/>
      <name val="Arial"/>
      <family val="2"/>
      <scheme val="minor"/>
    </font>
    <font>
      <sz val="8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9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b/>
      <u/>
      <sz val="13"/>
      <color theme="1"/>
      <name val="Arial"/>
      <family val="2"/>
      <scheme val="minor"/>
    </font>
    <font>
      <sz val="9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74999237037263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/>
    <xf numFmtId="0" fontId="6" fillId="0" borderId="1" xfId="0" applyFont="1" applyBorder="1"/>
    <xf numFmtId="165" fontId="6" fillId="0" borderId="1" xfId="1" applyNumberFormat="1" applyFont="1" applyBorder="1"/>
    <xf numFmtId="0" fontId="7" fillId="0" borderId="0" xfId="0" applyFont="1"/>
    <xf numFmtId="43" fontId="7" fillId="0" borderId="0" xfId="1" applyFont="1"/>
    <xf numFmtId="167" fontId="7" fillId="0" borderId="0" xfId="1" applyNumberFormat="1" applyFont="1"/>
    <xf numFmtId="164" fontId="7" fillId="0" borderId="0" xfId="2" applyNumberFormat="1" applyFont="1"/>
    <xf numFmtId="0" fontId="7" fillId="0" borderId="1" xfId="0" applyFont="1" applyBorder="1"/>
    <xf numFmtId="166" fontId="7" fillId="0" borderId="0" xfId="0" applyNumberFormat="1" applyFont="1"/>
    <xf numFmtId="0" fontId="10" fillId="0" borderId="0" xfId="0" applyFont="1"/>
    <xf numFmtId="9" fontId="7" fillId="0" borderId="1" xfId="2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horizontal="center" vertical="top" wrapText="1"/>
    </xf>
    <xf numFmtId="165" fontId="7" fillId="0" borderId="1" xfId="1" applyNumberFormat="1" applyFont="1" applyBorder="1"/>
    <xf numFmtId="0" fontId="8" fillId="2" borderId="2" xfId="0" applyFont="1" applyFill="1" applyBorder="1" applyAlignment="1">
      <alignment wrapText="1"/>
    </xf>
    <xf numFmtId="0" fontId="8" fillId="2" borderId="6" xfId="0" applyFont="1" applyFill="1" applyBorder="1" applyAlignment="1">
      <alignment wrapText="1"/>
    </xf>
    <xf numFmtId="165" fontId="7" fillId="0" borderId="7" xfId="1" applyNumberFormat="1" applyFont="1" applyBorder="1"/>
    <xf numFmtId="165" fontId="7" fillId="0" borderId="6" xfId="1" applyNumberFormat="1" applyFont="1" applyBorder="1"/>
    <xf numFmtId="165" fontId="7" fillId="0" borderId="6" xfId="1" applyNumberFormat="1" applyFont="1" applyBorder="1" applyAlignment="1">
      <alignment horizontal="center"/>
    </xf>
    <xf numFmtId="165" fontId="7" fillId="0" borderId="8" xfId="1" applyNumberFormat="1" applyFont="1" applyBorder="1"/>
    <xf numFmtId="0" fontId="7" fillId="0" borderId="14" xfId="0" applyFont="1" applyBorder="1"/>
    <xf numFmtId="0" fontId="8" fillId="2" borderId="7" xfId="0" applyFont="1" applyFill="1" applyBorder="1" applyAlignment="1">
      <alignment wrapText="1"/>
    </xf>
    <xf numFmtId="0" fontId="8" fillId="2" borderId="8" xfId="0" applyFont="1" applyFill="1" applyBorder="1" applyAlignment="1">
      <alignment wrapText="1"/>
    </xf>
    <xf numFmtId="165" fontId="7" fillId="0" borderId="8" xfId="0" applyNumberFormat="1" applyFont="1" applyBorder="1"/>
    <xf numFmtId="0" fontId="0" fillId="0" borderId="1" xfId="0" applyBorder="1"/>
    <xf numFmtId="0" fontId="11" fillId="3" borderId="15" xfId="0" applyFont="1" applyFill="1" applyBorder="1" applyAlignment="1">
      <alignment horizontal="center"/>
    </xf>
    <xf numFmtId="0" fontId="11" fillId="3" borderId="16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7" fillId="0" borderId="7" xfId="0" applyFont="1" applyBorder="1"/>
    <xf numFmtId="0" fontId="7" fillId="0" borderId="26" xfId="0" applyFont="1" applyBorder="1"/>
    <xf numFmtId="165" fontId="7" fillId="0" borderId="6" xfId="1" applyNumberFormat="1" applyFont="1" applyBorder="1" applyAlignment="1">
      <alignment readingOrder="2"/>
    </xf>
    <xf numFmtId="165" fontId="0" fillId="0" borderId="12" xfId="1" applyNumberFormat="1" applyFont="1" applyBorder="1"/>
    <xf numFmtId="165" fontId="0" fillId="0" borderId="28" xfId="1" applyNumberFormat="1" applyFont="1" applyBorder="1"/>
    <xf numFmtId="165" fontId="0" fillId="0" borderId="9" xfId="1" applyNumberFormat="1" applyFont="1" applyBorder="1"/>
    <xf numFmtId="165" fontId="4" fillId="0" borderId="10" xfId="1" applyNumberFormat="1" applyFont="1" applyBorder="1"/>
    <xf numFmtId="165" fontId="4" fillId="0" borderId="12" xfId="1" applyNumberFormat="1" applyFont="1" applyBorder="1"/>
    <xf numFmtId="165" fontId="4" fillId="0" borderId="9" xfId="1" applyNumberFormat="1" applyFont="1" applyBorder="1"/>
    <xf numFmtId="165" fontId="0" fillId="0" borderId="8" xfId="1" applyNumberFormat="1" applyFont="1" applyBorder="1"/>
    <xf numFmtId="165" fontId="0" fillId="0" borderId="29" xfId="1" applyNumberFormat="1" applyFont="1" applyBorder="1"/>
    <xf numFmtId="165" fontId="0" fillId="0" borderId="7" xfId="1" applyNumberFormat="1" applyFont="1" applyBorder="1"/>
    <xf numFmtId="165" fontId="4" fillId="0" borderId="1" xfId="1" applyNumberFormat="1" applyFont="1" applyBorder="1"/>
    <xf numFmtId="165" fontId="4" fillId="0" borderId="8" xfId="1" applyNumberFormat="1" applyFont="1" applyBorder="1"/>
    <xf numFmtId="165" fontId="4" fillId="0" borderId="7" xfId="1" applyNumberFormat="1" applyFont="1" applyBorder="1"/>
    <xf numFmtId="165" fontId="0" fillId="0" borderId="30" xfId="1" applyNumberFormat="1" applyFont="1" applyBorder="1"/>
    <xf numFmtId="165" fontId="0" fillId="0" borderId="31" xfId="1" applyNumberFormat="1" applyFont="1" applyBorder="1"/>
    <xf numFmtId="165" fontId="0" fillId="0" borderId="32" xfId="1" applyNumberFormat="1" applyFont="1" applyBorder="1"/>
    <xf numFmtId="165" fontId="4" fillId="0" borderId="33" xfId="1" applyNumberFormat="1" applyFont="1" applyBorder="1"/>
    <xf numFmtId="165" fontId="4" fillId="0" borderId="30" xfId="1" applyNumberFormat="1" applyFont="1" applyBorder="1"/>
    <xf numFmtId="165" fontId="4" fillId="0" borderId="32" xfId="1" applyNumberFormat="1" applyFont="1" applyBorder="1"/>
    <xf numFmtId="165" fontId="0" fillId="0" borderId="5" xfId="1" applyNumberFormat="1" applyFont="1" applyBorder="1"/>
    <xf numFmtId="165" fontId="0" fillId="0" borderId="34" xfId="1" applyNumberFormat="1" applyFont="1" applyBorder="1"/>
    <xf numFmtId="165" fontId="0" fillId="0" borderId="3" xfId="1" applyNumberFormat="1" applyFont="1" applyBorder="1"/>
    <xf numFmtId="165" fontId="4" fillId="0" borderId="4" xfId="1" applyNumberFormat="1" applyFont="1" applyBorder="1"/>
    <xf numFmtId="165" fontId="4" fillId="0" borderId="5" xfId="1" applyNumberFormat="1" applyFont="1" applyBorder="1"/>
    <xf numFmtId="165" fontId="4" fillId="0" borderId="3" xfId="1" applyNumberFormat="1" applyFont="1" applyBorder="1"/>
    <xf numFmtId="165" fontId="4" fillId="0" borderId="34" xfId="1" applyNumberFormat="1" applyFont="1" applyBorder="1"/>
    <xf numFmtId="165" fontId="4" fillId="0" borderId="35" xfId="1" applyNumberFormat="1" applyFont="1" applyBorder="1"/>
    <xf numFmtId="49" fontId="0" fillId="0" borderId="0" xfId="0" applyNumberFormat="1" applyAlignment="1">
      <alignment horizontal="center" vertical="center"/>
    </xf>
    <xf numFmtId="49" fontId="4" fillId="0" borderId="39" xfId="1" applyNumberFormat="1" applyFont="1" applyBorder="1" applyAlignment="1">
      <alignment horizontal="center" vertical="center"/>
    </xf>
    <xf numFmtId="49" fontId="4" fillId="0" borderId="40" xfId="1" applyNumberFormat="1" applyFont="1" applyBorder="1" applyAlignment="1">
      <alignment horizontal="center" vertical="center"/>
    </xf>
    <xf numFmtId="165" fontId="4" fillId="0" borderId="3" xfId="1" applyNumberFormat="1" applyFont="1" applyBorder="1" applyAlignment="1"/>
    <xf numFmtId="0" fontId="11" fillId="3" borderId="17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165" fontId="0" fillId="0" borderId="9" xfId="1" applyNumberFormat="1" applyFont="1" applyBorder="1" applyAlignment="1">
      <alignment readingOrder="2"/>
    </xf>
    <xf numFmtId="0" fontId="14" fillId="0" borderId="1" xfId="0" applyFont="1" applyBorder="1"/>
    <xf numFmtId="0" fontId="14" fillId="0" borderId="0" xfId="0" applyFont="1"/>
    <xf numFmtId="0" fontId="18" fillId="0" borderId="0" xfId="0" applyFont="1"/>
    <xf numFmtId="0" fontId="19" fillId="0" borderId="1" xfId="0" applyFont="1" applyBorder="1"/>
    <xf numFmtId="0" fontId="18" fillId="0" borderId="0" xfId="0" applyFont="1" applyAlignment="1">
      <alignment wrapText="1"/>
    </xf>
    <xf numFmtId="0" fontId="18" fillId="0" borderId="1" xfId="0" applyFont="1" applyBorder="1"/>
    <xf numFmtId="0" fontId="22" fillId="0" borderId="1" xfId="0" applyFont="1" applyBorder="1"/>
    <xf numFmtId="0" fontId="21" fillId="0" borderId="14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1" fontId="7" fillId="0" borderId="2" xfId="0" applyNumberFormat="1" applyFont="1" applyBorder="1"/>
    <xf numFmtId="1" fontId="13" fillId="0" borderId="1" xfId="0" applyNumberFormat="1" applyFont="1" applyBorder="1"/>
    <xf numFmtId="168" fontId="7" fillId="0" borderId="8" xfId="2" applyNumberFormat="1" applyFont="1" applyBorder="1"/>
    <xf numFmtId="168" fontId="7" fillId="0" borderId="27" xfId="2" applyNumberFormat="1" applyFont="1" applyBorder="1"/>
    <xf numFmtId="168" fontId="7" fillId="0" borderId="0" xfId="2" applyNumberFormat="1" applyFont="1"/>
    <xf numFmtId="0" fontId="11" fillId="3" borderId="17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19" xfId="0" applyFont="1" applyFill="1" applyBorder="1" applyAlignment="1">
      <alignment horizont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11" fillId="3" borderId="21" xfId="0" applyFont="1" applyFill="1" applyBorder="1" applyAlignment="1">
      <alignment horizontal="center"/>
    </xf>
    <xf numFmtId="0" fontId="11" fillId="3" borderId="22" xfId="0" applyFont="1" applyFill="1" applyBorder="1" applyAlignment="1">
      <alignment horizontal="center"/>
    </xf>
    <xf numFmtId="0" fontId="11" fillId="3" borderId="23" xfId="0" applyFont="1" applyFill="1" applyBorder="1" applyAlignment="1">
      <alignment horizontal="center"/>
    </xf>
    <xf numFmtId="49" fontId="4" fillId="0" borderId="37" xfId="1" applyNumberFormat="1" applyFont="1" applyBorder="1" applyAlignment="1">
      <alignment horizontal="center" vertical="center"/>
    </xf>
    <xf numFmtId="49" fontId="4" fillId="0" borderId="36" xfId="1" applyNumberFormat="1" applyFont="1" applyBorder="1" applyAlignment="1">
      <alignment horizontal="center" vertical="center"/>
    </xf>
    <xf numFmtId="49" fontId="4" fillId="0" borderId="38" xfId="1" applyNumberFormat="1" applyFont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4" formatCode="0.0%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8" formatCode="0.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3" formatCode="0%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3" formatCode="0%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numFmt numFmtId="165" formatCode="_ * #,##0_ ;_ * \-#,##0_ ;_ * &quot;-&quot;??_ ;_ @_ 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65" formatCode="_ * #,##0_ ;_ * \-#,##0_ ;_ * &quot;-&quot;??_ ;_ @_ 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name val="Adama"/>
        <charset val="177"/>
        <scheme val="none"/>
      </font>
      <numFmt numFmtId="1" formatCode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dama"/>
        <charset val="177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dama"/>
        <charset val="177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2" tint="-0.89999084444715716"/>
        <name val="Adama"/>
        <charset val="177"/>
        <scheme val="none"/>
      </font>
      <fill>
        <patternFill patternType="solid">
          <fgColor indexed="64"/>
          <bgColor theme="0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459C0C-8BE3-4349-817C-C32C2A69F611}" name="טבלה1" displayName="טבלה1" ref="A3:O17" totalsRowShown="0" headerRowDxfId="33" dataDxfId="31" headerRowBorderDxfId="32" tableBorderDxfId="30" totalsRowBorderDxfId="29">
  <autoFilter ref="A3:O17" xr:uid="{40459C0C-8BE3-4349-817C-C32C2A69F611}"/>
  <sortState xmlns:xlrd2="http://schemas.microsoft.com/office/spreadsheetml/2017/richdata2" ref="A4:O17">
    <sortCondition ref="A3:A17"/>
  </sortState>
  <tableColumns count="15">
    <tableColumn id="1" xr3:uid="{7289026B-289A-430D-B029-2F65277F5A00}" name="יישוב" dataDxfId="28" totalsRowDxfId="27"/>
    <tableColumn id="2" xr3:uid="{89AD43AA-5D77-4010-9990-CE707527FB3D}" name="מיקום_x000a_בסדר_x000a_ההגרלות" dataDxfId="26" totalsRowDxfId="25"/>
    <tableColumn id="3" xr3:uid="{A63B2213-9752-4537-A56B-923510FBEAF9}" name="סך_x000a_דירות_x000a_בהגרלה" dataDxfId="24" totalsRowDxfId="23"/>
    <tableColumn id="4" xr3:uid="{ADF7C65F-C431-48B0-8988-A357BF0ECA6B}" name="דירות_x000a_לכלל_x000a_הציבור" dataDxfId="22" totalsRowDxfId="21">
      <calculatedColumnFormula>טבלה1[[#This Row],[סך
דירות
בהגרלה]]*50%</calculatedColumnFormula>
    </tableColumn>
    <tableColumn id="5" xr3:uid="{753146F1-00E0-4E4D-A024-761A635E1C22}" name="דירות_x000a_לבני_x000a_מקום" dataDxfId="20" totalsRowDxfId="19">
      <calculatedColumnFormula>טבלה1[[#This Row],[סך
דירות
בהגרלה]]*27%</calculatedColumnFormula>
    </tableColumn>
    <tableColumn id="6" xr3:uid="{793847A6-0BBE-4F44-B398-9A63C25CD427}" name="מחיר לאחר הנחה" dataDxfId="18" totalsRowDxfId="17" dataCellStyle="Comma" totalsRowCellStyle="Comma"/>
    <tableColumn id="8" xr3:uid="{8B9599BE-64F9-4B61-9CD5-21E01298B74C}" name="הון עצמי נדרש" dataDxfId="16" totalsRowDxfId="15" dataCellStyle="Comma" totalsRowCellStyle="Comma">
      <calculatedColumnFormula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calculatedColumnFormula>
    </tableColumn>
    <tableColumn id="9" xr3:uid="{73062261-CDA0-4C85-BB80-4E12D0B42311}" name="רווח_x000a_באחוזים_x000a_לעומת_x000a_מחיר_x000a_שוק" dataDxfId="14" dataCellStyle="Percent" totalsRowCellStyle="Percent">
      <calculatedColumnFormula>F4/VLOOKUP(A4,'מחירים שוק חופשי'!B:F,5,0)-1</calculatedColumnFormula>
    </tableColumn>
    <tableColumn id="10" xr3:uid="{C0D33A4A-B1A9-4620-A21B-CDB5AF920921}" name="רווח_x000a_לעומת_x000a_מחיר_x000a_שוק" dataDxfId="13" totalsRowDxfId="12">
      <calculatedColumnFormula>VLOOKUP(A4,'מחירים שוק חופשי'!B:F,5,0)-F4</calculatedColumnFormula>
    </tableColumn>
    <tableColumn id="15" xr3:uid="{3BE5CAAB-4EFB-42F3-992B-F568F7FCC97F}" name="מחיר לאחר ההנחה" dataDxfId="11" totalsRowDxfId="10" dataCellStyle="Comma" totalsRowCellStyle="Comma"/>
    <tableColumn id="14" xr3:uid="{B769BE86-15FA-4F22-96E9-EA2CF6DFE71F}" name="הון עצמי הנדרש" dataDxfId="9" totalsRowDxfId="8" dataCellStyle="Comma" totalsRowCellStyle="Comma">
      <calculatedColumnFormula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calculatedColumnFormula>
    </tableColumn>
    <tableColumn id="13" xr3:uid="{35DF3AA3-851B-4289-89CE-FAEDE57F0111}" name="רווח_x000a_באחוזים_x000a_לעומת_x000a_מחיר_x000a_השוק" dataDxfId="7" totalsRowDxfId="6" dataCellStyle="Percent" totalsRowCellStyle="Percent">
      <calculatedColumnFormula>J4/VLOOKUP(A4,'מחירים שוק חופשי'!B:G,6,0)-1</calculatedColumnFormula>
    </tableColumn>
    <tableColumn id="12" xr3:uid="{4CA75AD2-A15D-4D8F-B1B9-F18E7AA8D207}" name="רווח_x000a_לעומת_x000a_מחיר_x000a_השוק" dataDxfId="5" totalsRowDxfId="4" dataCellStyle="Comma" totalsRowCellStyle="Comma">
      <calculatedColumnFormula>VLOOKUP(A4,'מחירים שוק חופשי'!B:G,6,0)-J4</calculatedColumnFormula>
    </tableColumn>
    <tableColumn id="7" xr3:uid="{A5FECCDB-18D1-46CB-83B1-E8DE2C4AB587}" name="מענק" dataDxfId="3" totalsRowDxfId="2" dataCellStyle="Comma" totalsRowCellStyle="Comma"/>
    <tableColumn id="11" xr3:uid="{87541284-FEA1-40BC-BC45-D6B575FE4838}" name="אחוזי_x000a_זכייה_x000a_נכון_x000a_לעכשיו" dataDxfId="1" totalsRowDxfId="0" dataCellStyle="Percent" totalsRowCellStyle="Percen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F00D-02D5-43AA-A7C9-01780B4E7E3B}">
  <dimension ref="A1:P19"/>
  <sheetViews>
    <sheetView rightToLeft="1" tabSelected="1" zoomScale="109" zoomScaleNormal="115" workbookViewId="0">
      <selection activeCell="J11" sqref="J11"/>
    </sheetView>
  </sheetViews>
  <sheetFormatPr defaultColWidth="8.75" defaultRowHeight="15" x14ac:dyDescent="0.25"/>
  <cols>
    <col min="1" max="1" width="9.375" style="4" bestFit="1" customWidth="1"/>
    <col min="2" max="2" width="8.75" style="4" bestFit="1" customWidth="1"/>
    <col min="3" max="3" width="8.125" style="4" bestFit="1" customWidth="1"/>
    <col min="4" max="4" width="7.625" style="4" bestFit="1" customWidth="1"/>
    <col min="5" max="5" width="6.625" style="4" bestFit="1" customWidth="1"/>
    <col min="6" max="6" width="14.375" style="5" bestFit="1" customWidth="1"/>
    <col min="7" max="7" width="12.75" style="4" bestFit="1" customWidth="1"/>
    <col min="8" max="8" width="8.25" style="6" bestFit="1" customWidth="1"/>
    <col min="9" max="9" width="9.125" style="4" bestFit="1" customWidth="1"/>
    <col min="10" max="10" width="10.75" style="4" bestFit="1" customWidth="1"/>
    <col min="11" max="11" width="9.125" style="4" bestFit="1" customWidth="1"/>
    <col min="12" max="12" width="8.25" style="4" bestFit="1" customWidth="1"/>
    <col min="13" max="13" width="9.125" style="4" bestFit="1" customWidth="1"/>
    <col min="14" max="14" width="6.5" style="4" bestFit="1" customWidth="1"/>
    <col min="15" max="15" width="7.875" style="83" bestFit="1" customWidth="1"/>
    <col min="16" max="16" width="17.375" style="7" customWidth="1"/>
    <col min="17" max="16384" width="8.75" style="4"/>
  </cols>
  <sheetData>
    <row r="1" spans="1:16" s="1" customFormat="1" ht="23.25" customHeight="1" thickBot="1" x14ac:dyDescent="0.3">
      <c r="A1" s="26">
        <v>1</v>
      </c>
      <c r="B1" s="27">
        <v>2</v>
      </c>
      <c r="C1" s="84">
        <v>3</v>
      </c>
      <c r="D1" s="85"/>
      <c r="E1" s="86"/>
      <c r="F1" s="28">
        <v>4</v>
      </c>
      <c r="G1" s="28">
        <v>5</v>
      </c>
      <c r="H1" s="94">
        <v>6</v>
      </c>
      <c r="I1" s="95"/>
      <c r="J1" s="64">
        <v>4</v>
      </c>
      <c r="K1" s="63">
        <v>5</v>
      </c>
      <c r="L1" s="94">
        <v>6</v>
      </c>
      <c r="M1" s="96"/>
      <c r="N1" s="62">
        <v>7</v>
      </c>
      <c r="O1" s="62">
        <v>8</v>
      </c>
    </row>
    <row r="2" spans="1:16" s="10" customFormat="1" ht="30.75" customHeight="1" x14ac:dyDescent="0.25">
      <c r="A2" s="91"/>
      <c r="B2" s="92"/>
      <c r="C2" s="92"/>
      <c r="D2" s="92"/>
      <c r="E2" s="92"/>
      <c r="F2" s="87" t="s">
        <v>20</v>
      </c>
      <c r="G2" s="88"/>
      <c r="H2" s="88"/>
      <c r="I2" s="89"/>
      <c r="J2" s="90" t="s">
        <v>21</v>
      </c>
      <c r="K2" s="88"/>
      <c r="L2" s="88"/>
      <c r="M2" s="89"/>
      <c r="N2" s="92"/>
      <c r="O2" s="93"/>
    </row>
    <row r="3" spans="1:16" s="13" customFormat="1" ht="75" customHeight="1" x14ac:dyDescent="0.25">
      <c r="A3" s="22" t="s">
        <v>7</v>
      </c>
      <c r="B3" s="12" t="s">
        <v>13</v>
      </c>
      <c r="C3" s="12" t="s">
        <v>66</v>
      </c>
      <c r="D3" s="12" t="s">
        <v>14</v>
      </c>
      <c r="E3" s="15" t="s">
        <v>15</v>
      </c>
      <c r="F3" s="22" t="s">
        <v>12</v>
      </c>
      <c r="G3" s="12" t="s">
        <v>8</v>
      </c>
      <c r="H3" s="12" t="s">
        <v>11</v>
      </c>
      <c r="I3" s="23" t="s">
        <v>5</v>
      </c>
      <c r="J3" s="16" t="s">
        <v>83</v>
      </c>
      <c r="K3" s="12" t="s">
        <v>84</v>
      </c>
      <c r="L3" s="12" t="s">
        <v>85</v>
      </c>
      <c r="M3" s="23" t="s">
        <v>82</v>
      </c>
      <c r="N3" s="16" t="s">
        <v>6</v>
      </c>
      <c r="O3" s="16" t="s">
        <v>17</v>
      </c>
    </row>
    <row r="4" spans="1:16" x14ac:dyDescent="0.25">
      <c r="A4" s="29" t="s">
        <v>50</v>
      </c>
      <c r="B4" s="8">
        <v>14</v>
      </c>
      <c r="C4" s="8">
        <v>241</v>
      </c>
      <c r="D4" s="80">
        <f>טבלה1[[#This Row],[סך
דירות
בהגרלה]]*50%</f>
        <v>120.5</v>
      </c>
      <c r="E4" s="79">
        <f>טבלה1[[#This Row],[סך
דירות
בהגרלה]]*27%</f>
        <v>65.070000000000007</v>
      </c>
      <c r="F4" s="17">
        <v>843200</v>
      </c>
      <c r="G4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4" s="11">
        <f>F4/VLOOKUP(A4,'מחירים שוק חופשי'!B:F,5,0)-1</f>
        <v>-0.37817109144542771</v>
      </c>
      <c r="I4" s="24">
        <f>VLOOKUP(A4,'מחירים שוק חופשי'!B:F,5,0)-F4</f>
        <v>512800</v>
      </c>
      <c r="J4" s="18">
        <v>1171200</v>
      </c>
      <c r="K4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100000</v>
      </c>
      <c r="L4" s="11">
        <f>J4/VLOOKUP(A4,'מחירים שוק חופשי'!B:G,6,0)-1</f>
        <v>-0.3090265486725664</v>
      </c>
      <c r="M4" s="20">
        <f>VLOOKUP(A4,'מחירים שוק חופשי'!B:G,6,0)-J4</f>
        <v>523800</v>
      </c>
      <c r="N4" s="19" t="s">
        <v>1</v>
      </c>
      <c r="O4" s="81">
        <v>1.9</v>
      </c>
      <c r="P4" s="4"/>
    </row>
    <row r="5" spans="1:16" x14ac:dyDescent="0.25">
      <c r="A5" s="29" t="s">
        <v>45</v>
      </c>
      <c r="B5" s="8">
        <v>19</v>
      </c>
      <c r="C5" s="8">
        <v>25</v>
      </c>
      <c r="D5" s="80">
        <f>טבלה1[[#This Row],[סך
דירות
בהגרלה]]*50%</f>
        <v>12.5</v>
      </c>
      <c r="E5" s="79">
        <f>טבלה1[[#This Row],[סך
דירות
בהגרלה]]*27%</f>
        <v>6.75</v>
      </c>
      <c r="F5" s="17">
        <v>975288</v>
      </c>
      <c r="G5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5" s="11">
        <f>F5/VLOOKUP(A5,'מחירים שוק חופשי'!B:F,5,0)-1</f>
        <v>-0.39648019801980194</v>
      </c>
      <c r="I5" s="24">
        <f>VLOOKUP(A5,'מחירים שוק חופשי'!B:F,5,0)-F5</f>
        <v>640712</v>
      </c>
      <c r="J5" s="18">
        <v>1295400</v>
      </c>
      <c r="K5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100000</v>
      </c>
      <c r="L5" s="11">
        <f>J5/VLOOKUP(A5,'מחירים שוק חופשי'!B:G,6,0)-1</f>
        <v>-0.3587128712871287</v>
      </c>
      <c r="M5" s="20">
        <f>VLOOKUP(A5,'מחירים שוק חופשי'!B:G,6,0)-J5</f>
        <v>724600</v>
      </c>
      <c r="N5" s="19" t="s">
        <v>1</v>
      </c>
      <c r="O5" s="81">
        <v>1.4</v>
      </c>
      <c r="P5" s="4"/>
    </row>
    <row r="6" spans="1:16" x14ac:dyDescent="0.25">
      <c r="A6" s="29" t="s">
        <v>27</v>
      </c>
      <c r="B6" s="8">
        <v>4</v>
      </c>
      <c r="C6" s="8">
        <v>275</v>
      </c>
      <c r="D6" s="80">
        <f>טבלה1[[#This Row],[סך
דירות
בהגרלה]]*50%</f>
        <v>137.5</v>
      </c>
      <c r="E6" s="79">
        <f>טבלה1[[#This Row],[סך
דירות
בהגרלה]]*27%</f>
        <v>74.25</v>
      </c>
      <c r="F6" s="17">
        <v>482162</v>
      </c>
      <c r="G6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6" s="11">
        <f>F6/VLOOKUP(A6,'מחירים שוק חופשי'!B:F,5,0)-1</f>
        <v>-0.41055990220048899</v>
      </c>
      <c r="I6" s="24">
        <f>VLOOKUP(A6,'מחירים שוק חופשי'!B:F,5,0)-F6</f>
        <v>335838</v>
      </c>
      <c r="J6" s="18">
        <v>591744</v>
      </c>
      <c r="K6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100000</v>
      </c>
      <c r="L6" s="11">
        <f>J6/VLOOKUP(A6,'מחירים שוק חופשי'!B:G,6,0)-1</f>
        <v>-0.42127726161369194</v>
      </c>
      <c r="M6" s="20">
        <f>VLOOKUP(A6,'מחירים שוק חופשי'!B:G,6,0)-J6</f>
        <v>430756</v>
      </c>
      <c r="N6" s="19">
        <v>40000</v>
      </c>
      <c r="O6" s="81">
        <v>3.6</v>
      </c>
      <c r="P6" s="4"/>
    </row>
    <row r="7" spans="1:16" x14ac:dyDescent="0.25">
      <c r="A7" s="29" t="s">
        <v>62</v>
      </c>
      <c r="B7" s="8">
        <v>6</v>
      </c>
      <c r="C7" s="8">
        <v>2175</v>
      </c>
      <c r="D7" s="80">
        <f>טבלה1[[#This Row],[סך
דירות
בהגרלה]]*50%</f>
        <v>1087.5</v>
      </c>
      <c r="E7" s="79">
        <f>טבלה1[[#This Row],[סך
דירות
בהגרלה]]*27%</f>
        <v>587.25</v>
      </c>
      <c r="F7" s="17">
        <v>1290000</v>
      </c>
      <c r="G7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7" s="11">
        <f>F7/VLOOKUP(A7,'מחירים שוק חופשי'!B:F,5,0)-1</f>
        <v>-0.28173719376391981</v>
      </c>
      <c r="I7" s="24">
        <f>VLOOKUP(A7,'מחירים שוק חופשי'!B:F,5,0)-F7</f>
        <v>506000</v>
      </c>
      <c r="J7" s="31">
        <v>1580000</v>
      </c>
      <c r="K7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230000</v>
      </c>
      <c r="L7" s="11">
        <f>J7/VLOOKUP(A7,'מחירים שוק חופשי'!B:G,6,0)-1</f>
        <v>-0.29621380846325163</v>
      </c>
      <c r="M7" s="20">
        <f>VLOOKUP(A7,'מחירים שוק חופשי'!B:G,6,0)-J7</f>
        <v>665000</v>
      </c>
      <c r="N7" s="19" t="s">
        <v>1</v>
      </c>
      <c r="O7" s="81">
        <v>10.199999999999999</v>
      </c>
      <c r="P7" s="4"/>
    </row>
    <row r="8" spans="1:16" x14ac:dyDescent="0.25">
      <c r="A8" s="29" t="s">
        <v>3</v>
      </c>
      <c r="B8" s="8">
        <v>20</v>
      </c>
      <c r="C8" s="8">
        <v>717</v>
      </c>
      <c r="D8" s="80">
        <f>טבלה1[[#This Row],[סך
דירות
בהגרלה]]*50%</f>
        <v>358.5</v>
      </c>
      <c r="E8" s="79">
        <f>טבלה1[[#This Row],[סך
דירות
בהגרלה]]*27%</f>
        <v>193.59</v>
      </c>
      <c r="F8" s="17">
        <v>1300000</v>
      </c>
      <c r="G8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8" s="11">
        <f>F8/VLOOKUP(A8,'מחירים שוק חופשי'!B:F,5,0)-1</f>
        <v>-0.24065420560747663</v>
      </c>
      <c r="I8" s="24">
        <f>VLOOKUP(A8,'מחירים שוק חופשי'!B:F,5,0)-F8</f>
        <v>412000</v>
      </c>
      <c r="J8" s="31">
        <v>1600000</v>
      </c>
      <c r="K8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250000</v>
      </c>
      <c r="L8" s="11">
        <f>J8/VLOOKUP(A8,'מחירים שוק חופשי'!B:G,6,0)-1</f>
        <v>-0.25233644859813087</v>
      </c>
      <c r="M8" s="20">
        <f>VLOOKUP(A8,'מחירים שוק חופשי'!B:G,6,0)-J8</f>
        <v>540000</v>
      </c>
      <c r="N8" s="19" t="s">
        <v>1</v>
      </c>
      <c r="O8" s="81">
        <v>6.3</v>
      </c>
      <c r="P8" s="4"/>
    </row>
    <row r="9" spans="1:16" x14ac:dyDescent="0.25">
      <c r="A9" s="29" t="s">
        <v>22</v>
      </c>
      <c r="B9" s="8">
        <v>11</v>
      </c>
      <c r="C9" s="8">
        <v>38</v>
      </c>
      <c r="D9" s="80">
        <f>טבלה1[[#This Row],[סך
דירות
בהגרלה]]*50%</f>
        <v>19</v>
      </c>
      <c r="E9" s="79">
        <f>טבלה1[[#This Row],[סך
דירות
בהגרלה]]*27%</f>
        <v>10.260000000000002</v>
      </c>
      <c r="F9" s="17">
        <v>509652</v>
      </c>
      <c r="G9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9" s="11">
        <f>F9/VLOOKUP(A9,'מחירים שוק חופשי'!B:F,5,0)-1</f>
        <v>-0.42084999999999995</v>
      </c>
      <c r="I9" s="24">
        <f>VLOOKUP(A9,'מחירים שוק חופשי'!B:F,5,0)-F9</f>
        <v>370348</v>
      </c>
      <c r="J9" s="18">
        <v>625482</v>
      </c>
      <c r="K9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100000</v>
      </c>
      <c r="L9" s="11">
        <f>J9/VLOOKUP(A9,'מחירים שוק חופשי'!B:G,6,0)-1</f>
        <v>-0.43137999999999999</v>
      </c>
      <c r="M9" s="20">
        <f>VLOOKUP(A9,'מחירים שוק חופשי'!B:G,6,0)-J9</f>
        <v>474518</v>
      </c>
      <c r="N9" s="19">
        <v>40000</v>
      </c>
      <c r="O9" s="81">
        <v>0.8</v>
      </c>
      <c r="P9" s="4"/>
    </row>
    <row r="10" spans="1:16" x14ac:dyDescent="0.25">
      <c r="A10" s="29" t="s">
        <v>63</v>
      </c>
      <c r="B10" s="8">
        <v>12</v>
      </c>
      <c r="C10" s="8">
        <v>93</v>
      </c>
      <c r="D10" s="80">
        <f>טבלה1[[#This Row],[סך
דירות
בהגרלה]]*50%</f>
        <v>46.5</v>
      </c>
      <c r="E10" s="79">
        <f>טבלה1[[#This Row],[סך
דירות
בהגרלה]]*27%</f>
        <v>25.110000000000003</v>
      </c>
      <c r="F10" s="17">
        <v>1100384</v>
      </c>
      <c r="G10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10" s="11">
        <f>F10/VLOOKUP(A10,'מחירים שוק חופשי'!B:F,5,0)-1</f>
        <v>-0.25649729729729731</v>
      </c>
      <c r="I10" s="24">
        <f>VLOOKUP(A10,'מחירים שוק חופשי'!B:F,5,0)-F10</f>
        <v>379616</v>
      </c>
      <c r="J10" s="18">
        <v>1486385</v>
      </c>
      <c r="K10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136385</v>
      </c>
      <c r="L10" s="11">
        <f>J10/VLOOKUP(A10,'מחירים שוק חופשי'!B:G,6,0)-1</f>
        <v>-0.19654864864864863</v>
      </c>
      <c r="M10" s="20">
        <f>VLOOKUP(A10,'מחירים שוק חופשי'!B:G,6,0)-J10</f>
        <v>363615</v>
      </c>
      <c r="N10" s="19" t="s">
        <v>1</v>
      </c>
      <c r="O10" s="81">
        <v>1.2</v>
      </c>
      <c r="P10" s="4"/>
    </row>
    <row r="11" spans="1:16" x14ac:dyDescent="0.25">
      <c r="A11" s="29" t="s">
        <v>64</v>
      </c>
      <c r="B11" s="8">
        <v>1</v>
      </c>
      <c r="C11" s="8">
        <v>166</v>
      </c>
      <c r="D11" s="80">
        <f>טבלה1[[#This Row],[סך
דירות
בהגרלה]]*50%</f>
        <v>83</v>
      </c>
      <c r="E11" s="79">
        <f>טבלה1[[#This Row],[סך
דירות
בהגרלה]]*27%</f>
        <v>44.82</v>
      </c>
      <c r="F11" s="17">
        <v>2015339</v>
      </c>
      <c r="G11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503834.75</v>
      </c>
      <c r="H11" s="11">
        <f>F11/VLOOKUP(A11,'מחירים שוק חופשי'!B:F,5,0)-1</f>
        <v>-0.1145259226713532</v>
      </c>
      <c r="I11" s="24">
        <f>VLOOKUP(A11,'מחירים שוק חופשי'!B:F,5,0)-F11</f>
        <v>260661</v>
      </c>
      <c r="J11" s="18">
        <v>2473371</v>
      </c>
      <c r="K11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618342.75</v>
      </c>
      <c r="L11" s="11">
        <f>J11/VLOOKUP(A11,'מחירים שוק חופשי'!B:G,6,0)-1</f>
        <v>-0.13062530755711776</v>
      </c>
      <c r="M11" s="20">
        <f>VLOOKUP(A11,'מחירים שוק חופשי'!B:G,6,0)-J11</f>
        <v>371629</v>
      </c>
      <c r="N11" s="19" t="s">
        <v>1</v>
      </c>
      <c r="O11" s="81">
        <v>0.8</v>
      </c>
      <c r="P11" s="4"/>
    </row>
    <row r="12" spans="1:16" x14ac:dyDescent="0.25">
      <c r="A12" s="29" t="s">
        <v>65</v>
      </c>
      <c r="B12" s="8">
        <v>13</v>
      </c>
      <c r="C12" s="8">
        <v>898</v>
      </c>
      <c r="D12" s="80">
        <f>טבלה1[[#This Row],[סך
דירות
בהגרלה]]*50%</f>
        <v>449</v>
      </c>
      <c r="E12" s="79">
        <f>טבלה1[[#This Row],[סך
דירות
בהגרלה]]*27%</f>
        <v>242.46</v>
      </c>
      <c r="F12" s="17">
        <v>1770000</v>
      </c>
      <c r="G12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420000</v>
      </c>
      <c r="H12" s="11">
        <f>F12/VLOOKUP(A12,'מחירים שוק חופשי'!B:F,5,0)-1</f>
        <v>-0.23575129533678751</v>
      </c>
      <c r="I12" s="24">
        <f>VLOOKUP(A12,'מחירים שוק חופשי'!B:F,5,0)-F12</f>
        <v>546000</v>
      </c>
      <c r="J12" s="18">
        <v>2171000</v>
      </c>
      <c r="K12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542750</v>
      </c>
      <c r="L12" s="11">
        <f>J12/VLOOKUP(A12,'מחירים שוק חופשי'!B:G,6,0)-1</f>
        <v>-0.2500863557858376</v>
      </c>
      <c r="M12" s="20">
        <f>VLOOKUP(A12,'מחירים שוק חופשי'!B:G,6,0)-J12</f>
        <v>724000</v>
      </c>
      <c r="N12" s="19" t="s">
        <v>1</v>
      </c>
      <c r="O12" s="81">
        <v>1.7</v>
      </c>
      <c r="P12" s="4"/>
    </row>
    <row r="13" spans="1:16" x14ac:dyDescent="0.25">
      <c r="A13" s="29" t="s">
        <v>31</v>
      </c>
      <c r="B13" s="8">
        <v>18</v>
      </c>
      <c r="C13" s="8">
        <v>192</v>
      </c>
      <c r="D13" s="80">
        <f>טבלה1[[#This Row],[סך
דירות
בהגרלה]]*50%</f>
        <v>96</v>
      </c>
      <c r="E13" s="79">
        <f>טבלה1[[#This Row],[סך
דירות
בהגרלה]]*27%</f>
        <v>51.84</v>
      </c>
      <c r="F13" s="17">
        <v>1237000</v>
      </c>
      <c r="G13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13" s="11">
        <f>F13/VLOOKUP(A13,'מחירים שוק חופשי'!B:F,5,0)-1</f>
        <v>-0.2874423963133641</v>
      </c>
      <c r="I13" s="24">
        <f>VLOOKUP(A13,'מחירים שוק חופשי'!B:F,5,0)-F13</f>
        <v>499000</v>
      </c>
      <c r="J13" s="18">
        <v>1633000</v>
      </c>
      <c r="K13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283000</v>
      </c>
      <c r="L13" s="11">
        <f>J13/VLOOKUP(A13,'מחירים שוק חופשי'!B:G,6,0)-1</f>
        <v>-0.24746543778801844</v>
      </c>
      <c r="M13" s="20">
        <f>VLOOKUP(A13,'מחירים שוק חופשי'!B:G,6,0)-J13</f>
        <v>537000</v>
      </c>
      <c r="N13" s="19" t="s">
        <v>1</v>
      </c>
      <c r="O13" s="81">
        <v>1.8</v>
      </c>
      <c r="P13" s="4"/>
    </row>
    <row r="14" spans="1:16" x14ac:dyDescent="0.25">
      <c r="A14" s="29" t="s">
        <v>16</v>
      </c>
      <c r="B14" s="8">
        <v>8</v>
      </c>
      <c r="C14" s="8">
        <v>132</v>
      </c>
      <c r="D14" s="80">
        <f>טבלה1[[#This Row],[סך
דירות
בהגרלה]]*50%</f>
        <v>66</v>
      </c>
      <c r="E14" s="79">
        <f>טבלה1[[#This Row],[סך
דירות
בהגרלה]]*27%</f>
        <v>35.64</v>
      </c>
      <c r="F14" s="17">
        <v>1001646</v>
      </c>
      <c r="G14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14" s="11">
        <f>F14/VLOOKUP(A14,'מחירים שוק חופשי'!B:F,5,0)-1</f>
        <v>-0.33401196808510636</v>
      </c>
      <c r="I14" s="24">
        <f>VLOOKUP(A14,'מחירים שוק חופשי'!B:F,5,0)-F14</f>
        <v>502354</v>
      </c>
      <c r="J14" s="18">
        <v>1365656</v>
      </c>
      <c r="K14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100000</v>
      </c>
      <c r="L14" s="11">
        <f>J14/VLOOKUP(A14,'מחירים שוק חופשי'!B:G,6,0)-1</f>
        <v>-0.27358723404255314</v>
      </c>
      <c r="M14" s="20">
        <f>VLOOKUP(A14,'מחירים שוק חופשי'!B:G,6,0)-J14</f>
        <v>514344</v>
      </c>
      <c r="N14" s="19" t="s">
        <v>1</v>
      </c>
      <c r="O14" s="81">
        <v>0.9</v>
      </c>
      <c r="P14" s="4"/>
    </row>
    <row r="15" spans="1:16" hidden="1" x14ac:dyDescent="0.25">
      <c r="A15" s="29" t="s">
        <v>58</v>
      </c>
      <c r="B15" s="8">
        <v>7</v>
      </c>
      <c r="C15" s="8">
        <v>11</v>
      </c>
      <c r="D15" s="80">
        <f>טבלה1[[#This Row],[סך
דירות
בהגרלה]]*50%</f>
        <v>5.5</v>
      </c>
      <c r="E15" s="79">
        <f>טבלה1[[#This Row],[סך
דירות
בהגרלה]]*27%</f>
        <v>2.97</v>
      </c>
      <c r="F15" s="17"/>
      <c r="G15" s="14" t="str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/>
      </c>
      <c r="H15" s="11">
        <f>F15/VLOOKUP(A15,'מחירים שוק חופשי'!B:F,5,0)-1</f>
        <v>-1</v>
      </c>
      <c r="I15" s="24">
        <f>VLOOKUP(A15,'מחירים שוק חופשי'!B:F,5,0)-F15</f>
        <v>1372000</v>
      </c>
      <c r="J15" s="18"/>
      <c r="K15" s="14" t="str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/>
      </c>
      <c r="L15" s="11">
        <f>J15/VLOOKUP(A15,'מחירים שוק חופשי'!B:G,6,0)-1</f>
        <v>-1</v>
      </c>
      <c r="M15" s="20">
        <f>VLOOKUP(A15,'מחירים שוק חופשי'!B:G,6,0)-J15</f>
        <v>1715000</v>
      </c>
      <c r="N15" s="19" t="s">
        <v>1</v>
      </c>
      <c r="O15" s="81">
        <v>0.12</v>
      </c>
      <c r="P15" s="4"/>
    </row>
    <row r="16" spans="1:16" x14ac:dyDescent="0.25">
      <c r="A16" s="29" t="s">
        <v>26</v>
      </c>
      <c r="B16" s="8">
        <v>3</v>
      </c>
      <c r="C16" s="8">
        <v>58</v>
      </c>
      <c r="D16" s="80">
        <f>טבלה1[[#This Row],[סך
דירות
בהגרלה]]*50%</f>
        <v>29</v>
      </c>
      <c r="E16" s="79">
        <f>טבלה1[[#This Row],[סך
דירות
בהגרלה]]*27%</f>
        <v>15.66</v>
      </c>
      <c r="F16" s="17">
        <v>1493872</v>
      </c>
      <c r="G16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143872</v>
      </c>
      <c r="H16" s="11">
        <f>F16/VLOOKUP(A16,'מחירים שוק חופשי'!B:F,5,0)-1</f>
        <v>-0.31347794117647054</v>
      </c>
      <c r="I16" s="24">
        <f>VLOOKUP(A16,'מחירים שוק חופשי'!B:F,5,0)-F16</f>
        <v>682128</v>
      </c>
      <c r="J16" s="18">
        <v>1901570</v>
      </c>
      <c r="K16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475392.5</v>
      </c>
      <c r="L16" s="11">
        <f>J16/VLOOKUP(A16,'מחירים שוק חופשי'!B:G,6,0)-1</f>
        <v>-0.30089338235294116</v>
      </c>
      <c r="M16" s="20">
        <f>VLOOKUP(A16,'מחירים שוק חופשי'!B:G,6,0)-J16</f>
        <v>818430</v>
      </c>
      <c r="N16" s="19" t="s">
        <v>1</v>
      </c>
      <c r="O16" s="81">
        <v>0.2</v>
      </c>
      <c r="P16" s="4"/>
    </row>
    <row r="17" spans="1:15" x14ac:dyDescent="0.25">
      <c r="A17" s="30" t="s">
        <v>0</v>
      </c>
      <c r="B17" s="8">
        <v>16</v>
      </c>
      <c r="C17" s="21">
        <v>20</v>
      </c>
      <c r="D17" s="80">
        <f>טבלה1[[#This Row],[סך
דירות
בהגרלה]]*50%</f>
        <v>10</v>
      </c>
      <c r="E17" s="79">
        <f>טבלה1[[#This Row],[סך
דירות
בהגרלה]]*27%</f>
        <v>5.4</v>
      </c>
      <c r="F17" s="17">
        <v>834594</v>
      </c>
      <c r="G17" s="14">
        <f>IF(טבלה1[[#This Row],[מחיר לאחר הנחה]]="","",IF(טבלה1[[#This Row],[מחיר לאחר הנחה]]&gt;1800000,טבלה1[[#This Row],[מחיר לאחר הנחה]]*25%,IF(טבלה1[[#This Row],[מחיר לאחר הנחה]]&gt;1450000,טבלה1[[#This Row],[מחיר לאחר הנחה]]-1350000,IF(טבלה1[[#This Row],[מחיר לאחר הנחה]]&gt;1000000,100000,IF(טבלה1[[#This Row],[מחיר לאחר הנחה]]&lt;1000000,100000)))))</f>
        <v>100000</v>
      </c>
      <c r="H17" s="11">
        <f>F17/VLOOKUP(A17,'מחירים שוק חופשי'!B:F,5,0)-1</f>
        <v>-0.36581003039513682</v>
      </c>
      <c r="I17" s="24">
        <f>VLOOKUP(A17,'מחירים שוק חופשי'!B:F,5,0)-F17</f>
        <v>481406</v>
      </c>
      <c r="J17" s="18">
        <v>1024274</v>
      </c>
      <c r="K17" s="14">
        <f>IF(טבלה1[[#This Row],[מחיר לאחר ההנחה]]="","",IF(טבלה1[[#This Row],[מחיר לאחר ההנחה]]&gt;1800000,טבלה1[[#This Row],[מחיר לאחר ההנחה]]*25%,IF(טבלה1[[#This Row],[מחיר לאחר ההנחה]]&gt;1450000,טבלה1[[#This Row],[מחיר לאחר ההנחה]]-1350000,IF(טבלה1[[#This Row],[מחיר לאחר ההנחה]]&gt;1000000,100000,IF(טבלה1[[#This Row],[מחיר לאחר ההנחה]]&lt;1000000,100000)))))</f>
        <v>100000</v>
      </c>
      <c r="L17" s="11">
        <f>J17/VLOOKUP(A17,'מחירים שוק חופשי'!B:G,6,0)-1</f>
        <v>-0.37734103343465042</v>
      </c>
      <c r="M17" s="20">
        <f>VLOOKUP(A17,'מחירים שוק חופשי'!B:G,6,0)-J17</f>
        <v>620726</v>
      </c>
      <c r="N17" s="19">
        <v>40000</v>
      </c>
      <c r="O17" s="82">
        <v>0.3</v>
      </c>
    </row>
    <row r="19" spans="1:15" x14ac:dyDescent="0.25">
      <c r="N19" s="9"/>
    </row>
  </sheetData>
  <sheetProtection sort="0" autoFilter="0"/>
  <mergeCells count="7">
    <mergeCell ref="C1:E1"/>
    <mergeCell ref="F2:I2"/>
    <mergeCell ref="J2:M2"/>
    <mergeCell ref="A2:E2"/>
    <mergeCell ref="N2:O2"/>
    <mergeCell ref="H1:I1"/>
    <mergeCell ref="L1:M1"/>
  </mergeCells>
  <phoneticPr fontId="17" type="noConversion"/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FCF0-D438-4670-A311-D6C9A0DD0149}">
  <dimension ref="A1:L27"/>
  <sheetViews>
    <sheetView rightToLeft="1" workbookViewId="0">
      <selection activeCell="H15" sqref="H15"/>
    </sheetView>
  </sheetViews>
  <sheetFormatPr defaultRowHeight="14.25" x14ac:dyDescent="0.2"/>
  <cols>
    <col min="1" max="2" width="9.875" bestFit="1" customWidth="1"/>
    <col min="4" max="4" width="4.875" bestFit="1" customWidth="1"/>
    <col min="5" max="5" width="10.5" bestFit="1" customWidth="1"/>
    <col min="6" max="6" width="4.875" bestFit="1" customWidth="1"/>
    <col min="8" max="8" width="9.875" bestFit="1" customWidth="1"/>
    <col min="9" max="9" width="11.875" bestFit="1" customWidth="1"/>
    <col min="11" max="11" width="9.875" bestFit="1" customWidth="1"/>
    <col min="12" max="12" width="11.875" bestFit="1" customWidth="1"/>
  </cols>
  <sheetData>
    <row r="1" spans="1:12" ht="15.75" thickBot="1" x14ac:dyDescent="0.25">
      <c r="A1" s="60" t="s">
        <v>34</v>
      </c>
      <c r="B1" s="59" t="s">
        <v>33</v>
      </c>
      <c r="D1" s="97"/>
      <c r="E1" s="99"/>
      <c r="F1" s="98"/>
      <c r="G1" s="58"/>
      <c r="H1" s="97">
        <v>3</v>
      </c>
      <c r="I1" s="98"/>
      <c r="J1" s="58"/>
      <c r="K1" s="97">
        <v>4</v>
      </c>
      <c r="L1" s="98"/>
    </row>
    <row r="2" spans="1:12" ht="15" x14ac:dyDescent="0.25">
      <c r="A2" s="57">
        <f>(I2+I3)/D2</f>
        <v>550733</v>
      </c>
      <c r="B2" s="56">
        <f>(L2+L3)/D2</f>
        <v>675899.5</v>
      </c>
      <c r="D2" s="52">
        <v>72</v>
      </c>
      <c r="E2" s="53" t="s">
        <v>29</v>
      </c>
      <c r="F2" s="50">
        <v>36</v>
      </c>
      <c r="H2" s="52">
        <v>535392</v>
      </c>
      <c r="I2" s="50">
        <f t="shared" ref="I2:I27" si="0">H2*F2</f>
        <v>19274112</v>
      </c>
      <c r="K2" s="52">
        <v>657072</v>
      </c>
      <c r="L2" s="50">
        <f t="shared" ref="L2:L27" si="1">K2*F2</f>
        <v>23654592</v>
      </c>
    </row>
    <row r="3" spans="1:12" ht="15.75" thickBot="1" x14ac:dyDescent="0.3">
      <c r="A3" s="37"/>
      <c r="B3" s="36"/>
      <c r="D3" s="34"/>
      <c r="E3" s="35"/>
      <c r="F3" s="32">
        <v>36</v>
      </c>
      <c r="H3" s="34">
        <v>566074</v>
      </c>
      <c r="I3" s="32">
        <f t="shared" si="0"/>
        <v>20378664</v>
      </c>
      <c r="K3" s="34">
        <v>694727</v>
      </c>
      <c r="L3" s="32">
        <f t="shared" si="1"/>
        <v>25010172</v>
      </c>
    </row>
    <row r="4" spans="1:12" ht="15" x14ac:dyDescent="0.25">
      <c r="A4" s="55">
        <f>(I4+I5+I6)/D4</f>
        <v>1543792.9115646258</v>
      </c>
      <c r="B4" s="54">
        <f>(L4+L5+L6)/D4</f>
        <v>1916527.3224489796</v>
      </c>
      <c r="D4" s="52">
        <v>735</v>
      </c>
      <c r="E4" s="53" t="s">
        <v>4</v>
      </c>
      <c r="F4" s="50">
        <v>368</v>
      </c>
      <c r="H4" s="52">
        <v>1560977</v>
      </c>
      <c r="I4" s="50">
        <f t="shared" si="0"/>
        <v>574439536</v>
      </c>
      <c r="K4" s="52">
        <v>1915744</v>
      </c>
      <c r="L4" s="50">
        <f t="shared" si="1"/>
        <v>704993792</v>
      </c>
    </row>
    <row r="5" spans="1:12" ht="15" x14ac:dyDescent="0.25">
      <c r="A5" s="43"/>
      <c r="B5" s="42"/>
      <c r="D5" s="40"/>
      <c r="E5" s="41"/>
      <c r="F5" s="38">
        <v>179</v>
      </c>
      <c r="H5" s="40">
        <v>1526562</v>
      </c>
      <c r="I5" s="38">
        <f t="shared" si="0"/>
        <v>273254598</v>
      </c>
      <c r="K5" s="40">
        <v>1894010</v>
      </c>
      <c r="L5" s="38">
        <f t="shared" si="1"/>
        <v>339027790</v>
      </c>
    </row>
    <row r="6" spans="1:12" ht="15.75" thickBot="1" x14ac:dyDescent="0.3">
      <c r="A6" s="37"/>
      <c r="B6" s="36"/>
      <c r="D6" s="34"/>
      <c r="E6" s="35"/>
      <c r="F6" s="32">
        <v>188</v>
      </c>
      <c r="H6" s="34">
        <v>1526562</v>
      </c>
      <c r="I6" s="32">
        <f t="shared" si="0"/>
        <v>286993656</v>
      </c>
      <c r="K6" s="34">
        <v>1939500</v>
      </c>
      <c r="L6" s="32">
        <f t="shared" si="1"/>
        <v>364626000</v>
      </c>
    </row>
    <row r="7" spans="1:12" ht="15" x14ac:dyDescent="0.25">
      <c r="A7" s="61">
        <f>(I7+I8+I9)/D7</f>
        <v>588508.89552238805</v>
      </c>
      <c r="B7" s="54">
        <f>(L7+L8+L9)/D7</f>
        <v>722260.85074626864</v>
      </c>
      <c r="D7" s="52">
        <v>67</v>
      </c>
      <c r="E7" s="53" t="s">
        <v>30</v>
      </c>
      <c r="F7" s="50">
        <v>29</v>
      </c>
      <c r="H7" s="52">
        <v>564736</v>
      </c>
      <c r="I7" s="50">
        <f t="shared" si="0"/>
        <v>16377344</v>
      </c>
      <c r="K7" s="52">
        <v>693085</v>
      </c>
      <c r="L7" s="51">
        <f t="shared" si="1"/>
        <v>20099465</v>
      </c>
    </row>
    <row r="8" spans="1:12" ht="15" x14ac:dyDescent="0.25">
      <c r="A8" s="43"/>
      <c r="B8" s="42"/>
      <c r="D8" s="40"/>
      <c r="E8" s="41"/>
      <c r="F8" s="38">
        <v>20</v>
      </c>
      <c r="H8" s="40">
        <v>605920</v>
      </c>
      <c r="I8" s="38">
        <f t="shared" si="0"/>
        <v>12118400</v>
      </c>
      <c r="K8" s="40">
        <v>743629</v>
      </c>
      <c r="L8" s="39">
        <f t="shared" si="1"/>
        <v>14872580</v>
      </c>
    </row>
    <row r="9" spans="1:12" ht="15.75" thickBot="1" x14ac:dyDescent="0.3">
      <c r="A9" s="37"/>
      <c r="B9" s="36"/>
      <c r="D9" s="34"/>
      <c r="E9" s="35"/>
      <c r="F9" s="32">
        <v>18</v>
      </c>
      <c r="H9" s="34">
        <v>607464</v>
      </c>
      <c r="I9" s="32">
        <f t="shared" si="0"/>
        <v>10934352</v>
      </c>
      <c r="K9" s="34">
        <v>745524</v>
      </c>
      <c r="L9" s="33">
        <f t="shared" si="1"/>
        <v>13419432</v>
      </c>
    </row>
    <row r="10" spans="1:12" ht="15" x14ac:dyDescent="0.25">
      <c r="A10" s="55">
        <f>(I10+I11+I12+I13+I14)/D10</f>
        <v>740246.88203753356</v>
      </c>
      <c r="B10" s="54">
        <f>(L10+L11+L12+L13+L14)/D10</f>
        <v>908484.97587131371</v>
      </c>
      <c r="D10" s="52">
        <v>373</v>
      </c>
      <c r="E10" s="53" t="s">
        <v>23</v>
      </c>
      <c r="F10" s="50">
        <v>83</v>
      </c>
      <c r="H10" s="52">
        <v>712277</v>
      </c>
      <c r="I10" s="50">
        <f t="shared" si="0"/>
        <v>59118991</v>
      </c>
      <c r="K10" s="51">
        <v>874158</v>
      </c>
      <c r="L10" s="50">
        <f t="shared" si="1"/>
        <v>72555114</v>
      </c>
    </row>
    <row r="11" spans="1:12" ht="15" x14ac:dyDescent="0.25">
      <c r="A11" s="43"/>
      <c r="B11" s="42"/>
      <c r="D11" s="40"/>
      <c r="E11" s="41"/>
      <c r="F11" s="38">
        <v>103</v>
      </c>
      <c r="H11" s="40">
        <v>749034</v>
      </c>
      <c r="I11" s="38">
        <f t="shared" si="0"/>
        <v>77150502</v>
      </c>
      <c r="K11" s="39">
        <v>919269</v>
      </c>
      <c r="L11" s="38">
        <f t="shared" si="1"/>
        <v>94684707</v>
      </c>
    </row>
    <row r="12" spans="1:12" ht="15" x14ac:dyDescent="0.25">
      <c r="A12" s="43"/>
      <c r="B12" s="42"/>
      <c r="D12" s="40"/>
      <c r="E12" s="41"/>
      <c r="F12" s="38">
        <v>56</v>
      </c>
      <c r="H12" s="40">
        <v>747876</v>
      </c>
      <c r="I12" s="38">
        <f t="shared" si="0"/>
        <v>41881056</v>
      </c>
      <c r="K12" s="39">
        <v>917847</v>
      </c>
      <c r="L12" s="38">
        <f t="shared" si="1"/>
        <v>51399432</v>
      </c>
    </row>
    <row r="13" spans="1:12" ht="15" x14ac:dyDescent="0.25">
      <c r="A13" s="43"/>
      <c r="B13" s="42"/>
      <c r="D13" s="40"/>
      <c r="E13" s="41"/>
      <c r="F13" s="38">
        <v>66</v>
      </c>
      <c r="H13" s="40">
        <v>747798</v>
      </c>
      <c r="I13" s="38">
        <f t="shared" si="0"/>
        <v>49354668</v>
      </c>
      <c r="K13" s="39">
        <v>917753</v>
      </c>
      <c r="L13" s="38">
        <f t="shared" si="1"/>
        <v>60571698</v>
      </c>
    </row>
    <row r="14" spans="1:12" ht="15.75" thickBot="1" x14ac:dyDescent="0.3">
      <c r="A14" s="37"/>
      <c r="B14" s="36"/>
      <c r="D14" s="34"/>
      <c r="E14" s="35"/>
      <c r="F14" s="32">
        <v>65</v>
      </c>
      <c r="H14" s="34">
        <v>747798</v>
      </c>
      <c r="I14" s="32">
        <f t="shared" si="0"/>
        <v>48606870</v>
      </c>
      <c r="K14" s="33">
        <v>917753</v>
      </c>
      <c r="L14" s="32">
        <f t="shared" si="1"/>
        <v>59653945</v>
      </c>
    </row>
    <row r="15" spans="1:12" ht="15" x14ac:dyDescent="0.25">
      <c r="A15" s="55">
        <f>(I15+I16)/D15</f>
        <v>1216934.3478260869</v>
      </c>
      <c r="B15" s="54">
        <f>(L15+L16)/D15</f>
        <v>1607146.7608695652</v>
      </c>
      <c r="D15" s="52">
        <v>46</v>
      </c>
      <c r="E15" s="53" t="s">
        <v>31</v>
      </c>
      <c r="F15" s="50">
        <v>27</v>
      </c>
      <c r="H15" s="52">
        <v>1202135</v>
      </c>
      <c r="I15" s="50">
        <f t="shared" si="0"/>
        <v>32457645</v>
      </c>
      <c r="K15" s="51">
        <v>1588984</v>
      </c>
      <c r="L15" s="50">
        <f t="shared" si="1"/>
        <v>42902568</v>
      </c>
    </row>
    <row r="16" spans="1:12" ht="15.75" thickBot="1" x14ac:dyDescent="0.3">
      <c r="A16" s="37"/>
      <c r="B16" s="36"/>
      <c r="D16" s="34"/>
      <c r="E16" s="35"/>
      <c r="F16" s="32">
        <v>19</v>
      </c>
      <c r="H16" s="65">
        <v>1237965</v>
      </c>
      <c r="I16" s="32">
        <f t="shared" si="0"/>
        <v>23521335</v>
      </c>
      <c r="K16" s="33">
        <v>1632957</v>
      </c>
      <c r="L16" s="32">
        <f t="shared" si="1"/>
        <v>31026183</v>
      </c>
    </row>
    <row r="17" spans="1:12" ht="15" x14ac:dyDescent="0.25">
      <c r="A17" s="55">
        <f>(I17+I18+I19)/D17</f>
        <v>1607017.5</v>
      </c>
      <c r="B17" s="54">
        <f>(L17+L18+L19)/D17</f>
        <v>2040430.7317073171</v>
      </c>
      <c r="D17" s="52">
        <v>164</v>
      </c>
      <c r="E17" s="53" t="s">
        <v>32</v>
      </c>
      <c r="F17" s="50">
        <v>61</v>
      </c>
      <c r="H17" s="52">
        <v>1583550</v>
      </c>
      <c r="I17" s="50">
        <f t="shared" si="0"/>
        <v>96596550</v>
      </c>
      <c r="K17" s="51">
        <v>2011630</v>
      </c>
      <c r="L17" s="50">
        <f t="shared" si="1"/>
        <v>122709430</v>
      </c>
    </row>
    <row r="18" spans="1:12" ht="15" x14ac:dyDescent="0.25">
      <c r="A18" s="43"/>
      <c r="B18" s="42"/>
      <c r="D18" s="40"/>
      <c r="E18" s="41"/>
      <c r="F18" s="38">
        <v>61</v>
      </c>
      <c r="H18" s="40">
        <v>1583550</v>
      </c>
      <c r="I18" s="38">
        <f t="shared" si="0"/>
        <v>96596550</v>
      </c>
      <c r="K18" s="39">
        <v>2011630</v>
      </c>
      <c r="L18" s="38">
        <f t="shared" si="1"/>
        <v>122709430</v>
      </c>
    </row>
    <row r="19" spans="1:12" ht="15.75" thickBot="1" x14ac:dyDescent="0.3">
      <c r="A19" s="37"/>
      <c r="B19" s="36"/>
      <c r="D19" s="34"/>
      <c r="E19" s="35"/>
      <c r="F19" s="32">
        <v>42</v>
      </c>
      <c r="H19" s="34">
        <v>1675185</v>
      </c>
      <c r="I19" s="32">
        <f t="shared" si="0"/>
        <v>70357770</v>
      </c>
      <c r="K19" s="33">
        <v>2124090</v>
      </c>
      <c r="L19" s="32">
        <f t="shared" si="1"/>
        <v>89211780</v>
      </c>
    </row>
    <row r="20" spans="1:12" ht="15" x14ac:dyDescent="0.25">
      <c r="A20" s="55">
        <f>(I20+I21+I22+I23)/D20</f>
        <v>1384329.328</v>
      </c>
      <c r="B20" s="54">
        <f>(L20+L21+L22+L23)/D20</f>
        <v>1774726.824</v>
      </c>
      <c r="D20" s="52">
        <v>250</v>
      </c>
      <c r="E20" s="53" t="s">
        <v>2</v>
      </c>
      <c r="F20" s="50">
        <v>37</v>
      </c>
      <c r="H20" s="52">
        <v>1690654</v>
      </c>
      <c r="I20" s="50">
        <f t="shared" si="0"/>
        <v>62554198</v>
      </c>
      <c r="K20" s="51">
        <v>2185270</v>
      </c>
      <c r="L20" s="50">
        <f t="shared" si="1"/>
        <v>80854990</v>
      </c>
    </row>
    <row r="21" spans="1:12" ht="15" x14ac:dyDescent="0.25">
      <c r="A21" s="43"/>
      <c r="B21" s="42"/>
      <c r="D21" s="40"/>
      <c r="E21" s="41"/>
      <c r="F21" s="38">
        <v>29</v>
      </c>
      <c r="H21" s="40">
        <v>1331118</v>
      </c>
      <c r="I21" s="38">
        <f t="shared" si="0"/>
        <v>38602422</v>
      </c>
      <c r="K21" s="39">
        <v>1766892</v>
      </c>
      <c r="L21" s="38">
        <f t="shared" si="1"/>
        <v>51239868</v>
      </c>
    </row>
    <row r="22" spans="1:12" ht="15" x14ac:dyDescent="0.25">
      <c r="A22" s="43"/>
      <c r="B22" s="42"/>
      <c r="D22" s="40"/>
      <c r="E22" s="41"/>
      <c r="F22" s="38">
        <v>74</v>
      </c>
      <c r="H22" s="40">
        <v>1331118</v>
      </c>
      <c r="I22" s="38">
        <f t="shared" si="0"/>
        <v>98502732</v>
      </c>
      <c r="K22" s="39">
        <v>1715842</v>
      </c>
      <c r="L22" s="38">
        <f t="shared" si="1"/>
        <v>126972308</v>
      </c>
    </row>
    <row r="23" spans="1:12" ht="15.75" thickBot="1" x14ac:dyDescent="0.3">
      <c r="A23" s="37"/>
      <c r="B23" s="36"/>
      <c r="D23" s="34"/>
      <c r="E23" s="35"/>
      <c r="F23" s="32">
        <v>110</v>
      </c>
      <c r="H23" s="34">
        <v>1331118</v>
      </c>
      <c r="I23" s="32">
        <f t="shared" si="0"/>
        <v>146422980</v>
      </c>
      <c r="K23" s="33">
        <v>1678314</v>
      </c>
      <c r="L23" s="32">
        <f t="shared" si="1"/>
        <v>184614540</v>
      </c>
    </row>
    <row r="24" spans="1:12" ht="15" x14ac:dyDescent="0.25">
      <c r="A24" s="49">
        <f>(I24+I26+I25+I27)/D24</f>
        <v>838553.96439169138</v>
      </c>
      <c r="B24" s="48">
        <f>(L24+L25+L26+L27)/D24</f>
        <v>1029134.4688427299</v>
      </c>
      <c r="D24" s="46">
        <v>337</v>
      </c>
      <c r="E24" s="47" t="s">
        <v>0</v>
      </c>
      <c r="F24" s="44">
        <v>25</v>
      </c>
      <c r="H24" s="46">
        <v>853127</v>
      </c>
      <c r="I24" s="44">
        <f t="shared" si="0"/>
        <v>21328175</v>
      </c>
      <c r="K24" s="45">
        <v>1047019</v>
      </c>
      <c r="L24" s="44">
        <f t="shared" si="1"/>
        <v>26175475</v>
      </c>
    </row>
    <row r="25" spans="1:12" ht="15" x14ac:dyDescent="0.25">
      <c r="A25" s="43"/>
      <c r="B25" s="42"/>
      <c r="D25" s="40"/>
      <c r="E25" s="41"/>
      <c r="F25" s="38">
        <v>139</v>
      </c>
      <c r="H25" s="40">
        <v>837219</v>
      </c>
      <c r="I25" s="38">
        <f t="shared" si="0"/>
        <v>116373441</v>
      </c>
      <c r="K25" s="39">
        <v>1027496</v>
      </c>
      <c r="L25" s="38">
        <f t="shared" si="1"/>
        <v>142821944</v>
      </c>
    </row>
    <row r="26" spans="1:12" ht="15" x14ac:dyDescent="0.25">
      <c r="A26" s="43"/>
      <c r="B26" s="42"/>
      <c r="D26" s="40"/>
      <c r="E26" s="41"/>
      <c r="F26" s="38">
        <v>83</v>
      </c>
      <c r="H26" s="40">
        <v>839690</v>
      </c>
      <c r="I26" s="38">
        <f t="shared" si="0"/>
        <v>69694270</v>
      </c>
      <c r="K26" s="39">
        <v>1030529</v>
      </c>
      <c r="L26" s="38">
        <f t="shared" si="1"/>
        <v>85533907</v>
      </c>
    </row>
    <row r="27" spans="1:12" ht="15.75" thickBot="1" x14ac:dyDescent="0.3">
      <c r="A27" s="37"/>
      <c r="B27" s="36"/>
      <c r="D27" s="34"/>
      <c r="E27" s="35"/>
      <c r="F27" s="32">
        <v>90</v>
      </c>
      <c r="H27" s="34">
        <v>835520</v>
      </c>
      <c r="I27" s="32">
        <f t="shared" si="0"/>
        <v>75196800</v>
      </c>
      <c r="K27" s="33">
        <v>1025411</v>
      </c>
      <c r="L27" s="32">
        <f t="shared" si="1"/>
        <v>92286990</v>
      </c>
    </row>
  </sheetData>
  <mergeCells count="3">
    <mergeCell ref="K1:L1"/>
    <mergeCell ref="H1:I1"/>
    <mergeCell ref="D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C2F98-D550-46DE-958A-15CD8F1E0B22}">
  <sheetPr filterMode="1"/>
  <dimension ref="A1:I35"/>
  <sheetViews>
    <sheetView rightToLeft="1" topLeftCell="B1" workbookViewId="0">
      <selection activeCell="F13" sqref="F13"/>
    </sheetView>
  </sheetViews>
  <sheetFormatPr defaultRowHeight="15" x14ac:dyDescent="0.25"/>
  <cols>
    <col min="1" max="1" width="11.25" style="68" hidden="1" customWidth="1"/>
    <col min="2" max="2" width="13.25" bestFit="1" customWidth="1"/>
    <col min="3" max="3" width="13.25" customWidth="1"/>
    <col min="4" max="4" width="10" customWidth="1"/>
    <col min="5" max="5" width="9.5" style="78" customWidth="1"/>
    <col min="6" max="6" width="12.625" style="78" customWidth="1"/>
    <col min="7" max="7" width="16.5" style="78" customWidth="1"/>
    <col min="8" max="8" width="15.5" style="67" customWidth="1"/>
    <col min="9" max="9" width="17.625" customWidth="1"/>
  </cols>
  <sheetData>
    <row r="1" spans="1:9" s="77" customFormat="1" ht="42" customHeight="1" x14ac:dyDescent="0.2">
      <c r="A1" s="70" t="s">
        <v>80</v>
      </c>
      <c r="B1" s="74" t="s">
        <v>7</v>
      </c>
      <c r="C1" s="75" t="s">
        <v>67</v>
      </c>
      <c r="D1" s="75" t="s">
        <v>77</v>
      </c>
      <c r="E1" s="73" t="s">
        <v>78</v>
      </c>
      <c r="F1" s="75" t="s">
        <v>9</v>
      </c>
      <c r="G1" s="75" t="s">
        <v>10</v>
      </c>
      <c r="H1" s="76" t="s">
        <v>38</v>
      </c>
      <c r="I1" s="75" t="s">
        <v>79</v>
      </c>
    </row>
    <row r="2" spans="1:9" ht="17.100000000000001" customHeight="1" x14ac:dyDescent="0.25">
      <c r="A2" s="71" t="s">
        <v>81</v>
      </c>
      <c r="B2" s="2" t="s">
        <v>50</v>
      </c>
      <c r="C2" s="3">
        <v>16400</v>
      </c>
      <c r="D2" s="3">
        <v>17500</v>
      </c>
      <c r="E2" s="41">
        <f>AVERAGE(C2:D2)</f>
        <v>16950</v>
      </c>
      <c r="F2" s="41">
        <f>E2*80</f>
        <v>1356000</v>
      </c>
      <c r="G2" s="41">
        <f>E2*100</f>
        <v>1695000</v>
      </c>
      <c r="H2" s="66" t="s">
        <v>68</v>
      </c>
      <c r="I2" s="72" t="s">
        <v>71</v>
      </c>
    </row>
    <row r="3" spans="1:9" ht="14.25" hidden="1" x14ac:dyDescent="0.2">
      <c r="A3" s="71"/>
      <c r="B3" s="2" t="s">
        <v>29</v>
      </c>
      <c r="C3" s="2"/>
      <c r="D3" s="3">
        <v>5000</v>
      </c>
      <c r="E3" s="3"/>
      <c r="F3" s="3">
        <f t="shared" ref="F3:F35" si="0">E3*80</f>
        <v>0</v>
      </c>
      <c r="G3" s="3">
        <f t="shared" ref="G3:G35" si="1">E3*100</f>
        <v>0</v>
      </c>
      <c r="H3" s="66" t="s">
        <v>44</v>
      </c>
      <c r="I3" s="25"/>
    </row>
    <row r="4" spans="1:9" ht="14.25" hidden="1" x14ac:dyDescent="0.2">
      <c r="A4" s="71"/>
      <c r="B4" s="2" t="s">
        <v>4</v>
      </c>
      <c r="C4" s="2"/>
      <c r="D4" s="3">
        <v>22000</v>
      </c>
      <c r="E4" s="3"/>
      <c r="F4" s="3">
        <f t="shared" si="0"/>
        <v>0</v>
      </c>
      <c r="G4" s="3">
        <f t="shared" si="1"/>
        <v>0</v>
      </c>
      <c r="H4" s="66" t="s">
        <v>49</v>
      </c>
      <c r="I4" s="25" t="s">
        <v>48</v>
      </c>
    </row>
    <row r="5" spans="1:9" ht="17.100000000000001" customHeight="1" x14ac:dyDescent="0.25">
      <c r="A5" s="71" t="s">
        <v>81</v>
      </c>
      <c r="B5" s="2" t="s">
        <v>45</v>
      </c>
      <c r="C5" s="3">
        <v>17900</v>
      </c>
      <c r="D5" s="3">
        <v>22500</v>
      </c>
      <c r="E5" s="41">
        <f>AVERAGE(C5:D5)</f>
        <v>20200</v>
      </c>
      <c r="F5" s="41">
        <f t="shared" si="0"/>
        <v>1616000</v>
      </c>
      <c r="G5" s="41">
        <f t="shared" si="1"/>
        <v>2020000</v>
      </c>
      <c r="H5" s="66" t="s">
        <v>37</v>
      </c>
      <c r="I5" s="72"/>
    </row>
    <row r="6" spans="1:9" ht="14.25" hidden="1" x14ac:dyDescent="0.2">
      <c r="A6" s="71"/>
      <c r="B6" s="2" t="s">
        <v>51</v>
      </c>
      <c r="C6" s="3"/>
      <c r="D6" s="3">
        <v>18900</v>
      </c>
      <c r="E6" s="3"/>
      <c r="F6" s="3">
        <f t="shared" si="0"/>
        <v>0</v>
      </c>
      <c r="G6" s="3">
        <f t="shared" si="1"/>
        <v>0</v>
      </c>
      <c r="H6" s="66"/>
      <c r="I6" s="25"/>
    </row>
    <row r="7" spans="1:9" ht="14.25" hidden="1" x14ac:dyDescent="0.2">
      <c r="A7" s="71"/>
      <c r="B7" s="2" t="s">
        <v>28</v>
      </c>
      <c r="C7" s="3"/>
      <c r="D7" s="3">
        <v>16000</v>
      </c>
      <c r="E7" s="3"/>
      <c r="F7" s="3">
        <f t="shared" si="0"/>
        <v>0</v>
      </c>
      <c r="G7" s="3">
        <f t="shared" si="1"/>
        <v>0</v>
      </c>
      <c r="H7" s="66" t="s">
        <v>39</v>
      </c>
      <c r="I7" s="25"/>
    </row>
    <row r="8" spans="1:9" ht="14.25" hidden="1" x14ac:dyDescent="0.2">
      <c r="A8" s="71"/>
      <c r="B8" s="2" t="s">
        <v>52</v>
      </c>
      <c r="C8" s="3"/>
      <c r="D8" s="3">
        <v>20800</v>
      </c>
      <c r="E8" s="3"/>
      <c r="F8" s="3">
        <f t="shared" si="0"/>
        <v>0</v>
      </c>
      <c r="G8" s="3">
        <f t="shared" si="1"/>
        <v>0</v>
      </c>
      <c r="H8" s="66"/>
      <c r="I8" s="25"/>
    </row>
    <row r="9" spans="1:9" ht="17.100000000000001" customHeight="1" x14ac:dyDescent="0.25">
      <c r="A9" s="71" t="s">
        <v>81</v>
      </c>
      <c r="B9" s="2" t="s">
        <v>27</v>
      </c>
      <c r="C9" s="3">
        <v>9950</v>
      </c>
      <c r="D9" s="3">
        <v>10500</v>
      </c>
      <c r="E9" s="41">
        <f t="shared" ref="E9:E11" si="2">AVERAGE(C9:D9)</f>
        <v>10225</v>
      </c>
      <c r="F9" s="41">
        <f t="shared" si="0"/>
        <v>818000</v>
      </c>
      <c r="G9" s="41">
        <f t="shared" si="1"/>
        <v>1022500</v>
      </c>
      <c r="H9" s="66" t="s">
        <v>69</v>
      </c>
      <c r="I9" s="72" t="s">
        <v>73</v>
      </c>
    </row>
    <row r="10" spans="1:9" ht="17.100000000000001" customHeight="1" x14ac:dyDescent="0.25">
      <c r="A10" s="71" t="s">
        <v>81</v>
      </c>
      <c r="B10" s="2" t="s">
        <v>62</v>
      </c>
      <c r="C10" s="3">
        <v>21500</v>
      </c>
      <c r="D10" s="3">
        <v>23400</v>
      </c>
      <c r="E10" s="41">
        <f t="shared" si="2"/>
        <v>22450</v>
      </c>
      <c r="F10" s="41">
        <f t="shared" si="0"/>
        <v>1796000</v>
      </c>
      <c r="G10" s="41">
        <f t="shared" si="1"/>
        <v>2245000</v>
      </c>
      <c r="H10" s="66" t="s">
        <v>70</v>
      </c>
      <c r="I10" s="72" t="s">
        <v>72</v>
      </c>
    </row>
    <row r="11" spans="1:9" ht="17.100000000000001" customHeight="1" x14ac:dyDescent="0.25">
      <c r="A11" s="71" t="s">
        <v>81</v>
      </c>
      <c r="B11" s="2" t="s">
        <v>3</v>
      </c>
      <c r="C11" s="3">
        <v>22100</v>
      </c>
      <c r="D11" s="3">
        <v>20700</v>
      </c>
      <c r="E11" s="41">
        <f t="shared" si="2"/>
        <v>21400</v>
      </c>
      <c r="F11" s="41">
        <f t="shared" si="0"/>
        <v>1712000</v>
      </c>
      <c r="G11" s="41">
        <f t="shared" si="1"/>
        <v>2140000</v>
      </c>
      <c r="H11" s="66" t="s">
        <v>37</v>
      </c>
      <c r="I11" s="72"/>
    </row>
    <row r="12" spans="1:9" ht="14.25" hidden="1" x14ac:dyDescent="0.2">
      <c r="A12" s="71"/>
      <c r="B12" s="2" t="s">
        <v>24</v>
      </c>
      <c r="C12" s="3"/>
      <c r="D12" s="3">
        <v>30100</v>
      </c>
      <c r="E12" s="3"/>
      <c r="F12" s="3">
        <f t="shared" si="0"/>
        <v>0</v>
      </c>
      <c r="G12" s="3">
        <f t="shared" si="1"/>
        <v>0</v>
      </c>
      <c r="H12" s="66" t="s">
        <v>37</v>
      </c>
      <c r="I12" s="25"/>
    </row>
    <row r="13" spans="1:9" ht="17.100000000000001" customHeight="1" x14ac:dyDescent="0.25">
      <c r="A13" s="71" t="s">
        <v>81</v>
      </c>
      <c r="B13" s="2" t="s">
        <v>22</v>
      </c>
      <c r="C13" s="3">
        <v>11000</v>
      </c>
      <c r="D13" s="3">
        <v>11000</v>
      </c>
      <c r="E13" s="41">
        <f t="shared" ref="E13:E15" si="3">AVERAGE(C13:D13)</f>
        <v>11000</v>
      </c>
      <c r="F13" s="41">
        <f t="shared" si="0"/>
        <v>880000</v>
      </c>
      <c r="G13" s="41">
        <f t="shared" si="1"/>
        <v>1100000</v>
      </c>
      <c r="H13" s="66" t="s">
        <v>47</v>
      </c>
      <c r="I13" s="72" t="s">
        <v>74</v>
      </c>
    </row>
    <row r="14" spans="1:9" ht="17.100000000000001" customHeight="1" x14ac:dyDescent="0.25">
      <c r="A14" s="71" t="s">
        <v>81</v>
      </c>
      <c r="B14" s="2" t="s">
        <v>63</v>
      </c>
      <c r="C14" s="3">
        <v>19300</v>
      </c>
      <c r="D14" s="3">
        <v>17700</v>
      </c>
      <c r="E14" s="41">
        <f t="shared" si="3"/>
        <v>18500</v>
      </c>
      <c r="F14" s="41">
        <f t="shared" si="0"/>
        <v>1480000</v>
      </c>
      <c r="G14" s="41">
        <f t="shared" si="1"/>
        <v>1850000</v>
      </c>
      <c r="H14" s="66" t="s">
        <v>37</v>
      </c>
      <c r="I14" s="72"/>
    </row>
    <row r="15" spans="1:9" ht="17.100000000000001" customHeight="1" x14ac:dyDescent="0.25">
      <c r="A15" s="71" t="s">
        <v>81</v>
      </c>
      <c r="B15" s="2" t="s">
        <v>64</v>
      </c>
      <c r="C15" s="3">
        <v>31100</v>
      </c>
      <c r="D15" s="3">
        <v>25800</v>
      </c>
      <c r="E15" s="41">
        <f t="shared" si="3"/>
        <v>28450</v>
      </c>
      <c r="F15" s="41">
        <f t="shared" si="0"/>
        <v>2276000</v>
      </c>
      <c r="G15" s="41">
        <f t="shared" si="1"/>
        <v>2845000</v>
      </c>
      <c r="H15" s="66" t="s">
        <v>37</v>
      </c>
      <c r="I15" s="72"/>
    </row>
    <row r="16" spans="1:9" ht="14.25" hidden="1" x14ac:dyDescent="0.2">
      <c r="A16" s="71"/>
      <c r="B16" s="2" t="s">
        <v>53</v>
      </c>
      <c r="C16" s="3"/>
      <c r="D16" s="3">
        <v>38900</v>
      </c>
      <c r="E16" s="3"/>
      <c r="F16" s="3">
        <f t="shared" si="0"/>
        <v>0</v>
      </c>
      <c r="G16" s="3">
        <f t="shared" si="1"/>
        <v>0</v>
      </c>
      <c r="H16" s="66"/>
      <c r="I16" s="69"/>
    </row>
    <row r="17" spans="1:9" ht="14.25" hidden="1" x14ac:dyDescent="0.2">
      <c r="A17" s="71"/>
      <c r="B17" s="2" t="s">
        <v>35</v>
      </c>
      <c r="C17" s="3"/>
      <c r="D17" s="3">
        <v>33500</v>
      </c>
      <c r="E17" s="3"/>
      <c r="F17" s="3">
        <f t="shared" si="0"/>
        <v>0</v>
      </c>
      <c r="G17" s="3">
        <f t="shared" si="1"/>
        <v>0</v>
      </c>
      <c r="H17" s="66" t="s">
        <v>40</v>
      </c>
      <c r="I17" s="69"/>
    </row>
    <row r="18" spans="1:9" ht="14.25" hidden="1" x14ac:dyDescent="0.2">
      <c r="A18" s="71"/>
      <c r="B18" s="2" t="s">
        <v>23</v>
      </c>
      <c r="C18" s="3"/>
      <c r="D18" s="3">
        <v>13000</v>
      </c>
      <c r="E18" s="3"/>
      <c r="F18" s="3">
        <f t="shared" si="0"/>
        <v>0</v>
      </c>
      <c r="G18" s="3">
        <f t="shared" si="1"/>
        <v>0</v>
      </c>
      <c r="H18" s="66" t="s">
        <v>37</v>
      </c>
      <c r="I18" s="69"/>
    </row>
    <row r="19" spans="1:9" ht="14.25" hidden="1" x14ac:dyDescent="0.2">
      <c r="A19" s="71"/>
      <c r="B19" s="2" t="s">
        <v>54</v>
      </c>
      <c r="C19" s="3"/>
      <c r="D19" s="3">
        <v>29300</v>
      </c>
      <c r="E19" s="3"/>
      <c r="F19" s="3">
        <f t="shared" si="0"/>
        <v>0</v>
      </c>
      <c r="G19" s="3">
        <f t="shared" si="1"/>
        <v>0</v>
      </c>
      <c r="H19" s="66"/>
      <c r="I19" s="69"/>
    </row>
    <row r="20" spans="1:9" ht="14.25" hidden="1" x14ac:dyDescent="0.2">
      <c r="A20" s="71"/>
      <c r="B20" s="2" t="s">
        <v>55</v>
      </c>
      <c r="C20" s="3"/>
      <c r="D20" s="3">
        <v>12700</v>
      </c>
      <c r="E20" s="3"/>
      <c r="F20" s="3">
        <f t="shared" si="0"/>
        <v>0</v>
      </c>
      <c r="G20" s="3">
        <f t="shared" si="1"/>
        <v>0</v>
      </c>
      <c r="H20" s="66"/>
      <c r="I20" s="69"/>
    </row>
    <row r="21" spans="1:9" ht="14.25" hidden="1" x14ac:dyDescent="0.2">
      <c r="A21" s="71"/>
      <c r="B21" s="2" t="s">
        <v>56</v>
      </c>
      <c r="C21" s="3"/>
      <c r="D21" s="3">
        <v>26800</v>
      </c>
      <c r="E21" s="3"/>
      <c r="F21" s="3">
        <f t="shared" si="0"/>
        <v>0</v>
      </c>
      <c r="G21" s="3">
        <f t="shared" si="1"/>
        <v>0</v>
      </c>
      <c r="H21" s="66"/>
      <c r="I21" s="69"/>
    </row>
    <row r="22" spans="1:9" ht="17.100000000000001" customHeight="1" x14ac:dyDescent="0.25">
      <c r="A22" s="71" t="s">
        <v>81</v>
      </c>
      <c r="B22" s="2" t="s">
        <v>65</v>
      </c>
      <c r="C22" s="3">
        <v>27500</v>
      </c>
      <c r="D22" s="3">
        <v>30400</v>
      </c>
      <c r="E22" s="41">
        <f t="shared" ref="E22" si="4">AVERAGE(C22:D22)</f>
        <v>28950</v>
      </c>
      <c r="F22" s="41">
        <f t="shared" si="0"/>
        <v>2316000</v>
      </c>
      <c r="G22" s="41">
        <f>E22*100</f>
        <v>2895000</v>
      </c>
      <c r="H22" s="66" t="s">
        <v>37</v>
      </c>
      <c r="I22" s="69"/>
    </row>
    <row r="23" spans="1:9" ht="14.25" hidden="1" x14ac:dyDescent="0.2">
      <c r="A23" s="71"/>
      <c r="B23" s="2" t="s">
        <v>57</v>
      </c>
      <c r="C23" s="3"/>
      <c r="D23" s="3">
        <v>18200</v>
      </c>
      <c r="E23" s="3"/>
      <c r="F23" s="3">
        <f t="shared" si="0"/>
        <v>0</v>
      </c>
      <c r="G23" s="3">
        <f t="shared" si="1"/>
        <v>0</v>
      </c>
      <c r="H23" s="66"/>
      <c r="I23" s="69"/>
    </row>
    <row r="24" spans="1:9" ht="14.25" hidden="1" x14ac:dyDescent="0.2">
      <c r="A24" s="71"/>
      <c r="B24" s="2" t="s">
        <v>25</v>
      </c>
      <c r="C24" s="3"/>
      <c r="D24" s="3">
        <v>15600</v>
      </c>
      <c r="E24" s="3"/>
      <c r="F24" s="3">
        <f t="shared" si="0"/>
        <v>0</v>
      </c>
      <c r="G24" s="3">
        <f t="shared" si="1"/>
        <v>0</v>
      </c>
      <c r="H24" s="66" t="s">
        <v>37</v>
      </c>
      <c r="I24" s="69"/>
    </row>
    <row r="25" spans="1:9" ht="17.100000000000001" customHeight="1" x14ac:dyDescent="0.25">
      <c r="A25" s="71" t="s">
        <v>81</v>
      </c>
      <c r="B25" s="2" t="s">
        <v>31</v>
      </c>
      <c r="C25" s="3">
        <v>19500</v>
      </c>
      <c r="D25" s="3">
        <v>23900</v>
      </c>
      <c r="E25" s="41">
        <f>AVERAGE(C25:D25)</f>
        <v>21700</v>
      </c>
      <c r="F25" s="41">
        <f t="shared" si="0"/>
        <v>1736000</v>
      </c>
      <c r="G25" s="41">
        <f t="shared" si="1"/>
        <v>2170000</v>
      </c>
      <c r="H25" s="66" t="s">
        <v>37</v>
      </c>
      <c r="I25" s="72"/>
    </row>
    <row r="26" spans="1:9" ht="14.25" hidden="1" x14ac:dyDescent="0.2">
      <c r="A26" s="71"/>
      <c r="B26" s="2" t="s">
        <v>18</v>
      </c>
      <c r="C26" s="25"/>
      <c r="D26" s="3">
        <v>18100</v>
      </c>
      <c r="E26" s="3"/>
      <c r="F26" s="3">
        <f t="shared" si="0"/>
        <v>0</v>
      </c>
      <c r="G26" s="3">
        <f t="shared" si="1"/>
        <v>0</v>
      </c>
      <c r="H26" s="66" t="s">
        <v>41</v>
      </c>
      <c r="I26" s="69"/>
    </row>
    <row r="27" spans="1:9" ht="17.100000000000001" customHeight="1" x14ac:dyDescent="0.25">
      <c r="A27" s="71" t="s">
        <v>81</v>
      </c>
      <c r="B27" s="2" t="s">
        <v>19</v>
      </c>
      <c r="C27" s="3">
        <v>18200</v>
      </c>
      <c r="D27" s="3">
        <v>19400</v>
      </c>
      <c r="E27" s="41">
        <f>AVERAGE(C27:D27)</f>
        <v>18800</v>
      </c>
      <c r="F27" s="41">
        <f t="shared" si="0"/>
        <v>1504000</v>
      </c>
      <c r="G27" s="41">
        <f t="shared" si="1"/>
        <v>1880000</v>
      </c>
      <c r="H27" s="66" t="s">
        <v>36</v>
      </c>
      <c r="I27" s="72" t="s">
        <v>75</v>
      </c>
    </row>
    <row r="28" spans="1:9" ht="14.25" hidden="1" x14ac:dyDescent="0.2">
      <c r="A28" s="71"/>
      <c r="B28" s="2" t="s">
        <v>59</v>
      </c>
      <c r="C28" s="3"/>
      <c r="D28" s="3">
        <v>22300</v>
      </c>
      <c r="E28" s="3"/>
      <c r="F28" s="3">
        <f t="shared" si="0"/>
        <v>0</v>
      </c>
      <c r="G28" s="3">
        <f t="shared" si="1"/>
        <v>0</v>
      </c>
      <c r="H28" s="66"/>
      <c r="I28" s="69"/>
    </row>
    <row r="29" spans="1:9" ht="14.25" hidden="1" x14ac:dyDescent="0.2">
      <c r="A29" s="71"/>
      <c r="B29" s="2" t="s">
        <v>60</v>
      </c>
      <c r="C29" s="3"/>
      <c r="D29" s="3">
        <v>12400</v>
      </c>
      <c r="E29" s="3"/>
      <c r="F29" s="3">
        <f t="shared" si="0"/>
        <v>0</v>
      </c>
      <c r="G29" s="3">
        <f t="shared" si="1"/>
        <v>0</v>
      </c>
      <c r="H29" s="66"/>
      <c r="I29" s="69"/>
    </row>
    <row r="30" spans="1:9" ht="17.100000000000001" customHeight="1" x14ac:dyDescent="0.25">
      <c r="A30" s="71" t="s">
        <v>81</v>
      </c>
      <c r="B30" s="2" t="s">
        <v>58</v>
      </c>
      <c r="C30" s="3">
        <v>16700</v>
      </c>
      <c r="D30" s="3">
        <v>17600</v>
      </c>
      <c r="E30" s="41">
        <f>AVERAGE(C30:D30)</f>
        <v>17150</v>
      </c>
      <c r="F30" s="41">
        <f t="shared" si="0"/>
        <v>1372000</v>
      </c>
      <c r="G30" s="41">
        <f t="shared" si="1"/>
        <v>1715000</v>
      </c>
      <c r="H30" s="66" t="s">
        <v>37</v>
      </c>
      <c r="I30" s="72"/>
    </row>
    <row r="31" spans="1:9" ht="14.25" hidden="1" x14ac:dyDescent="0.2">
      <c r="A31" s="71"/>
      <c r="B31" s="2" t="s">
        <v>2</v>
      </c>
      <c r="C31" s="3"/>
      <c r="D31" s="3">
        <v>26700</v>
      </c>
      <c r="E31" s="3"/>
      <c r="F31" s="3">
        <f t="shared" si="0"/>
        <v>0</v>
      </c>
      <c r="G31" s="3">
        <f t="shared" si="1"/>
        <v>0</v>
      </c>
      <c r="H31" s="66" t="s">
        <v>37</v>
      </c>
      <c r="I31" s="69"/>
    </row>
    <row r="32" spans="1:9" ht="14.25" hidden="1" x14ac:dyDescent="0.2">
      <c r="A32" s="71"/>
      <c r="B32" s="2" t="s">
        <v>61</v>
      </c>
      <c r="C32" s="3"/>
      <c r="D32" s="3">
        <v>27600</v>
      </c>
      <c r="E32" s="3"/>
      <c r="F32" s="3">
        <f t="shared" si="0"/>
        <v>0</v>
      </c>
      <c r="G32" s="3">
        <f t="shared" si="1"/>
        <v>0</v>
      </c>
      <c r="H32" s="66" t="s">
        <v>42</v>
      </c>
      <c r="I32" s="69"/>
    </row>
    <row r="33" spans="1:9" ht="17.100000000000001" customHeight="1" x14ac:dyDescent="0.25">
      <c r="A33" s="71" t="s">
        <v>81</v>
      </c>
      <c r="B33" s="2" t="s">
        <v>26</v>
      </c>
      <c r="C33" s="3"/>
      <c r="D33" s="3">
        <v>27200</v>
      </c>
      <c r="E33" s="41">
        <f t="shared" ref="E33:E34" si="5">AVERAGE(C33:D33)</f>
        <v>27200</v>
      </c>
      <c r="F33" s="41">
        <f t="shared" si="0"/>
        <v>2176000</v>
      </c>
      <c r="G33" s="41">
        <f t="shared" si="1"/>
        <v>2720000</v>
      </c>
      <c r="H33" s="66" t="s">
        <v>37</v>
      </c>
      <c r="I33" s="72" t="s">
        <v>76</v>
      </c>
    </row>
    <row r="34" spans="1:9" ht="17.100000000000001" customHeight="1" x14ac:dyDescent="0.25">
      <c r="A34" s="71" t="s">
        <v>81</v>
      </c>
      <c r="B34" s="2" t="s">
        <v>0</v>
      </c>
      <c r="C34" s="3">
        <v>14800</v>
      </c>
      <c r="D34" s="3">
        <v>18100</v>
      </c>
      <c r="E34" s="41">
        <f t="shared" si="5"/>
        <v>16450</v>
      </c>
      <c r="F34" s="41">
        <f t="shared" si="0"/>
        <v>1316000</v>
      </c>
      <c r="G34" s="41">
        <f t="shared" si="1"/>
        <v>1645000</v>
      </c>
      <c r="H34" s="66" t="s">
        <v>37</v>
      </c>
      <c r="I34" s="69"/>
    </row>
    <row r="35" spans="1:9" ht="14.25" hidden="1" x14ac:dyDescent="0.2">
      <c r="A35" s="71"/>
      <c r="B35" s="2" t="s">
        <v>46</v>
      </c>
      <c r="C35" s="3"/>
      <c r="D35" s="3">
        <v>36900</v>
      </c>
      <c r="E35" s="3"/>
      <c r="F35" s="3">
        <f t="shared" si="0"/>
        <v>0</v>
      </c>
      <c r="G35" s="3">
        <f t="shared" si="1"/>
        <v>0</v>
      </c>
      <c r="H35" s="66" t="s">
        <v>43</v>
      </c>
      <c r="I35" s="25"/>
    </row>
  </sheetData>
  <autoFilter ref="A1:I35" xr:uid="{8524711E-84CA-4BD0-97FF-14BE9B31CF09}">
    <filterColumn colId="0">
      <customFilters>
        <customFilter operator="notEqual" val=" "/>
      </custom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ראשי</vt:lpstr>
      <vt:lpstr>ממוצעים</vt:lpstr>
      <vt:lpstr>מחירים שוק חופשי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nachumi</dc:creator>
  <cp:lastModifiedBy>1234</cp:lastModifiedBy>
  <cp:lastPrinted>2024-01-22T11:19:48Z</cp:lastPrinted>
  <dcterms:created xsi:type="dcterms:W3CDTF">2024-01-09T23:06:58Z</dcterms:created>
  <dcterms:modified xsi:type="dcterms:W3CDTF">2024-10-07T14:07:28Z</dcterms:modified>
</cp:coreProperties>
</file>