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אברהם שטרנבוך\Downloads\"/>
    </mc:Choice>
  </mc:AlternateContent>
  <xr:revisionPtr revIDLastSave="0" documentId="8_{F204A758-F4F3-4528-9C2E-CD2FC0812983}" xr6:coauthVersionLast="47" xr6:coauthVersionMax="47" xr10:uidLastSave="{00000000-0000-0000-0000-000000000000}"/>
  <bookViews>
    <workbookView xWindow="-108" yWindow="-108" windowWidth="23256" windowHeight="12456"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G944" i="3"/>
  <c r="C950" i="3" s="1"/>
  <c r="D943" i="3"/>
  <c r="D942" i="3"/>
  <c r="C942" i="3"/>
  <c r="D941" i="3"/>
  <c r="C941" i="3"/>
  <c r="D938" i="3"/>
  <c r="D937" i="3"/>
  <c r="E936" i="3"/>
  <c r="D936" i="3"/>
  <c r="E935" i="3"/>
  <c r="E934" i="3"/>
  <c r="D934" i="3"/>
  <c r="C934" i="3"/>
  <c r="F929" i="3"/>
  <c r="F928" i="3"/>
  <c r="E928" i="3"/>
  <c r="F927" i="3"/>
  <c r="F905" i="3" s="1"/>
  <c r="G970" i="3" s="1"/>
  <c r="E917" i="3"/>
  <c r="F915" i="3"/>
  <c r="D914" i="3"/>
  <c r="B914" i="3"/>
  <c r="E913" i="3"/>
  <c r="C913" i="3"/>
  <c r="E911" i="3"/>
  <c r="E912" i="3" s="1"/>
  <c r="G910" i="3"/>
  <c r="E910" i="3"/>
  <c r="D910" i="3"/>
  <c r="B910" i="3"/>
  <c r="G909" i="3"/>
  <c r="G911" i="3" s="1"/>
  <c r="E909" i="3"/>
  <c r="D909" i="3"/>
  <c r="B909" i="3"/>
  <c r="G908" i="3"/>
  <c r="E908" i="3"/>
  <c r="D908" i="3"/>
  <c r="B908" i="3"/>
  <c r="G907" i="3"/>
  <c r="E907" i="3"/>
  <c r="B907" i="3"/>
  <c r="E906" i="3"/>
  <c r="B906" i="3"/>
  <c r="B911" i="3" s="1"/>
  <c r="G905" i="3"/>
  <c r="F904" i="3"/>
  <c r="F903" i="3"/>
  <c r="F902" i="3"/>
  <c r="C898"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N757" i="3" s="1"/>
  <c r="H794" i="3"/>
  <c r="K793" i="3"/>
  <c r="C937" i="3" s="1"/>
  <c r="H793" i="3"/>
  <c r="L792" i="3"/>
  <c r="M755" i="3" s="1"/>
  <c r="K792" i="3"/>
  <c r="C936" i="3" s="1"/>
  <c r="H792" i="3"/>
  <c r="H791" i="3"/>
  <c r="R790" i="3"/>
  <c r="L790" i="3"/>
  <c r="R789" i="3" s="1"/>
  <c r="K790" i="3"/>
  <c r="H790" i="3"/>
  <c r="K789" i="3"/>
  <c r="N752" i="3" s="1"/>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AG756" i="3"/>
  <c r="N756" i="3"/>
  <c r="AG755" i="3"/>
  <c r="AE754" i="3"/>
  <c r="Z754" i="3"/>
  <c r="W753" i="3"/>
  <c r="N753" i="3"/>
  <c r="M753" i="3"/>
  <c r="AJ752" i="3"/>
  <c r="W752" i="3"/>
  <c r="AJ751" i="3"/>
  <c r="N751" i="3"/>
  <c r="M751"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W719" i="3"/>
  <c r="O719" i="3"/>
  <c r="AQ718" i="3"/>
  <c r="AQ719" i="3" s="1"/>
  <c r="T718" i="3"/>
  <c r="T719" i="3" s="1"/>
  <c r="R718" i="3"/>
  <c r="AG717" i="3"/>
  <c r="Z717" i="3"/>
  <c r="R716" i="3"/>
  <c r="AP714" i="3"/>
  <c r="Y714" i="3"/>
  <c r="AP713" i="3"/>
  <c r="AP712" i="3"/>
  <c r="Q712" i="3"/>
  <c r="AE711" i="3"/>
  <c r="AP710" i="3"/>
  <c r="AP711" i="3" s="1"/>
  <c r="Q710" i="3"/>
  <c r="AP708" i="3"/>
  <c r="AP709" i="3" s="1"/>
  <c r="AP706" i="3"/>
  <c r="AP707" i="3" s="1"/>
  <c r="AP705" i="3"/>
  <c r="L776" i="3" s="1"/>
  <c r="K776" i="3" s="1"/>
  <c r="S704" i="3"/>
  <c r="T704" i="3" s="1"/>
  <c r="T705"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s="1"/>
  <c r="L217" i="3"/>
  <c r="I217" i="3"/>
  <c r="L216" i="3"/>
  <c r="I216" i="3"/>
  <c r="L215" i="3"/>
  <c r="I215" i="3"/>
  <c r="L214" i="3"/>
  <c r="I214" i="3"/>
  <c r="L213" i="3"/>
  <c r="I213" i="3"/>
  <c r="L212" i="3"/>
  <c r="I212" i="3" s="1"/>
  <c r="F212" i="3"/>
  <c r="L211" i="3"/>
  <c r="I211" i="3"/>
  <c r="F211" i="3"/>
  <c r="L210" i="3"/>
  <c r="I210" i="3"/>
  <c r="F210" i="3"/>
  <c r="L209" i="3"/>
  <c r="I209" i="3" s="1"/>
  <c r="L208" i="3"/>
  <c r="I208" i="3"/>
  <c r="L207" i="3"/>
  <c r="I207" i="3" s="1"/>
  <c r="L206" i="3"/>
  <c r="L205" i="3"/>
  <c r="G204" i="3"/>
  <c r="F204" i="3"/>
  <c r="G203" i="3"/>
  <c r="G202" i="3"/>
  <c r="G180" i="3" s="1"/>
  <c r="D202" i="3"/>
  <c r="B202" i="3"/>
  <c r="C201" i="3"/>
  <c r="D198" i="3"/>
  <c r="B198" i="3"/>
  <c r="D197" i="3"/>
  <c r="B197" i="3"/>
  <c r="D196" i="3"/>
  <c r="B196" i="3"/>
  <c r="B195" i="3"/>
  <c r="B194" i="3"/>
  <c r="B199" i="3" s="1"/>
  <c r="F193" i="3"/>
  <c r="H192" i="3"/>
  <c r="J175" i="3" s="1"/>
  <c r="G190" i="3"/>
  <c r="F189" i="3"/>
  <c r="F187" i="3"/>
  <c r="F182" i="3" s="1"/>
  <c r="C186" i="3"/>
  <c r="G179" i="3"/>
  <c r="G178" i="3"/>
  <c r="G177"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1" i="3"/>
  <c r="R111" i="3"/>
  <c r="S110" i="3"/>
  <c r="R110" i="3"/>
  <c r="S109" i="3"/>
  <c r="R109" i="3"/>
  <c r="R108" i="3"/>
  <c r="S107" i="3"/>
  <c r="S106" i="3"/>
  <c r="S112" i="3" s="1"/>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O96" i="3"/>
  <c r="P96" i="3" s="1"/>
  <c r="Q96" i="3" s="1"/>
  <c r="BJ95" i="3"/>
  <c r="BI95" i="3"/>
  <c r="O95" i="3"/>
  <c r="P95" i="3" s="1"/>
  <c r="Q95" i="3" s="1"/>
  <c r="BJ94" i="3"/>
  <c r="BI94" i="3"/>
  <c r="P94" i="3"/>
  <c r="Q94" i="3" s="1"/>
  <c r="O94" i="3"/>
  <c r="BJ93" i="3"/>
  <c r="BI93" i="3"/>
  <c r="O93" i="3"/>
  <c r="P93" i="3" s="1"/>
  <c r="Q93" i="3" s="1"/>
  <c r="BJ92" i="3"/>
  <c r="BI92" i="3"/>
  <c r="P92" i="3"/>
  <c r="Q92" i="3" s="1"/>
  <c r="O92" i="3"/>
  <c r="P91" i="3"/>
  <c r="Q91" i="3" s="1"/>
  <c r="O91" i="3"/>
  <c r="O90" i="3"/>
  <c r="P90" i="3" s="1"/>
  <c r="Q90" i="3" s="1"/>
  <c r="O89" i="3"/>
  <c r="P89" i="3" s="1"/>
  <c r="Q89" i="3" s="1"/>
  <c r="P88" i="3"/>
  <c r="Q88" i="3" s="1"/>
  <c r="O88" i="3"/>
  <c r="O87" i="3"/>
  <c r="P87" i="3" s="1"/>
  <c r="Q87" i="3" s="1"/>
  <c r="O86" i="3"/>
  <c r="P86" i="3" s="1"/>
  <c r="Q86" i="3" s="1"/>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AJ36" i="3" s="1"/>
  <c r="X37" i="3"/>
  <c r="AA37" i="3" s="1"/>
  <c r="K37" i="3"/>
  <c r="AQ36" i="3"/>
  <c r="L36" i="3"/>
  <c r="I35" i="3"/>
  <c r="H35" i="3"/>
  <c r="AO34" i="3"/>
  <c r="AO35" i="3" s="1"/>
  <c r="I34" i="3"/>
  <c r="U33" i="3"/>
  <c r="V33" i="3" s="1"/>
  <c r="T33" i="3"/>
  <c r="W33" i="3" s="1"/>
  <c r="T30" i="3" s="1"/>
  <c r="D135" i="3" s="1"/>
  <c r="BM32" i="3"/>
  <c r="BJ32" i="3"/>
  <c r="BA32" i="3"/>
  <c r="AG32" i="3"/>
  <c r="AE32" i="3"/>
  <c r="U32" i="3"/>
  <c r="V32" i="3" s="1"/>
  <c r="W32" i="3" s="1"/>
  <c r="T29" i="3" s="1"/>
  <c r="D134" i="3" s="1"/>
  <c r="BJ31" i="3"/>
  <c r="BA31" i="3"/>
  <c r="AO31" i="3"/>
  <c r="AP31" i="3" s="1"/>
  <c r="AJ30" i="3"/>
  <c r="S30" i="3"/>
  <c r="E30" i="3"/>
  <c r="D30" i="3"/>
  <c r="C30" i="3"/>
  <c r="F30" i="3" s="1"/>
  <c r="F31" i="3" s="1"/>
  <c r="AY29" i="3"/>
  <c r="AB29" i="3"/>
  <c r="S29" i="3"/>
  <c r="F29" i="3"/>
  <c r="AK28" i="3"/>
  <c r="AJ28" i="3"/>
  <c r="Q28" i="3"/>
  <c r="P28" i="3"/>
  <c r="P29" i="3" s="1"/>
  <c r="BJ26" i="3"/>
  <c r="BC26" i="3"/>
  <c r="AF27" i="3" s="1"/>
  <c r="AR27" i="3" s="1"/>
  <c r="E26" i="3"/>
  <c r="D26" i="3"/>
  <c r="C26" i="3"/>
  <c r="DF25" i="3"/>
  <c r="BJ25" i="3"/>
  <c r="BC25" i="3"/>
  <c r="W25" i="3"/>
  <c r="T25" i="3"/>
  <c r="S25" i="3"/>
  <c r="Q25" i="3"/>
  <c r="P25" i="3"/>
  <c r="F25" i="3"/>
  <c r="C17" i="3" s="1"/>
  <c r="F16" i="3" s="1"/>
  <c r="BJ24" i="3"/>
  <c r="BC24" i="3"/>
  <c r="AX24" i="3"/>
  <c r="R24" i="3"/>
  <c r="O24" i="3"/>
  <c r="N24" i="3"/>
  <c r="BJ23" i="3"/>
  <c r="CS22" i="3"/>
  <c r="CS23" i="3" s="1"/>
  <c r="CS24" i="3" s="1"/>
  <c r="CS25" i="3" s="1"/>
  <c r="CS26" i="3" s="1"/>
  <c r="CS27" i="3" s="1"/>
  <c r="BJ22" i="3"/>
  <c r="BJ27" i="3" s="1"/>
  <c r="BB22" i="3"/>
  <c r="S22" i="3"/>
  <c r="O22" i="3"/>
  <c r="V21" i="3"/>
  <c r="S21" i="3"/>
  <c r="O21" i="3"/>
  <c r="BS20" i="3"/>
  <c r="BR20" i="3"/>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S11" i="3"/>
  <c r="P11" i="3"/>
  <c r="V9" i="3"/>
  <c r="Q9" i="3"/>
  <c r="AJ8" i="3"/>
  <c r="P4" i="3" s="1"/>
  <c r="P6" i="3" s="1"/>
  <c r="T8" i="3"/>
  <c r="V7" i="3"/>
  <c r="T7" i="3"/>
  <c r="P106" i="3" s="1"/>
  <c r="N7" i="3"/>
  <c r="N10" i="3" s="1"/>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08" i="4" s="1"/>
  <c r="E910" i="4"/>
  <c r="D910" i="4"/>
  <c r="B910" i="4"/>
  <c r="G909" i="4"/>
  <c r="D909" i="4"/>
  <c r="B909" i="4"/>
  <c r="G908" i="4"/>
  <c r="G945" i="4" s="1"/>
  <c r="D908" i="4"/>
  <c r="B908" i="4"/>
  <c r="G907" i="4"/>
  <c r="E907" i="4"/>
  <c r="B907" i="4"/>
  <c r="E906" i="4"/>
  <c r="B906" i="4"/>
  <c r="B911" i="4" s="1"/>
  <c r="G905" i="4"/>
  <c r="F904" i="4"/>
  <c r="F903" i="4"/>
  <c r="F902" i="4"/>
  <c r="C898" i="4"/>
  <c r="H882" i="4"/>
  <c r="H878" i="4"/>
  <c r="H877" i="4"/>
  <c r="H867" i="4"/>
  <c r="N855" i="4"/>
  <c r="M855" i="4"/>
  <c r="N854" i="4"/>
  <c r="M854" i="4"/>
  <c r="N853" i="4"/>
  <c r="M853" i="4"/>
  <c r="L853" i="4"/>
  <c r="M852" i="4"/>
  <c r="N851" i="4"/>
  <c r="N850" i="4"/>
  <c r="N856" i="4" s="1"/>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s="1"/>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s="1"/>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8" i="4" s="1"/>
  <c r="C186" i="4"/>
  <c r="G179" i="4"/>
  <c r="G178" i="4"/>
  <c r="G177" i="4"/>
  <c r="I173" i="4"/>
  <c r="M168" i="4"/>
  <c r="I167" i="4"/>
  <c r="I163" i="4"/>
  <c r="I162" i="4"/>
  <c r="I161" i="4"/>
  <c r="H160" i="4"/>
  <c r="H158" i="4"/>
  <c r="H157" i="4"/>
  <c r="H159" i="4" s="1"/>
  <c r="BA32" i="4" s="1"/>
  <c r="H156" i="4"/>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O101" i="4"/>
  <c r="P101" i="4" s="1"/>
  <c r="Q101" i="4" s="1"/>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AZ42" i="4"/>
  <c r="BA44" i="4" s="1"/>
  <c r="AB42" i="4"/>
  <c r="BC24" i="4" s="1"/>
  <c r="AG36" i="4" s="1"/>
  <c r="N42" i="4"/>
  <c r="M42" i="4"/>
  <c r="AO41" i="4"/>
  <c r="AO42" i="4" s="1"/>
  <c r="AF41" i="4"/>
  <c r="AF42" i="4" s="1"/>
  <c r="BL40" i="4"/>
  <c r="P40" i="4"/>
  <c r="Q40" i="4" s="1"/>
  <c r="I40" i="4"/>
  <c r="I41" i="4" s="1"/>
  <c r="I42" i="4" s="1"/>
  <c r="I43" i="4" s="1"/>
  <c r="I44" i="4" s="1"/>
  <c r="I45" i="4" s="1"/>
  <c r="BL39" i="4"/>
  <c r="BJ39" i="4"/>
  <c r="AI39" i="4"/>
  <c r="AH39" i="4"/>
  <c r="AE39" i="4"/>
  <c r="AE38" i="4" s="1"/>
  <c r="P39" i="4"/>
  <c r="Q39" i="4" s="1"/>
  <c r="O39" i="4"/>
  <c r="AG38" i="4"/>
  <c r="AI37" i="4"/>
  <c r="AH37" i="4"/>
  <c r="AJ36" i="4" s="1"/>
  <c r="AA37" i="4"/>
  <c r="X37" i="4"/>
  <c r="K37" i="4"/>
  <c r="AQ36" i="4"/>
  <c r="L36" i="4"/>
  <c r="I35" i="4"/>
  <c r="H35" i="4"/>
  <c r="AO34" i="4"/>
  <c r="AO35" i="4" s="1"/>
  <c r="I34" i="4"/>
  <c r="U33" i="4"/>
  <c r="T33" i="4"/>
  <c r="BM32" i="4"/>
  <c r="BJ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R5" i="4" s="1"/>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T7" i="4"/>
  <c r="P106" i="4" s="1"/>
  <c r="C7" i="4"/>
  <c r="G3" i="4"/>
  <c r="X1" i="4"/>
  <c r="Y1" i="4" s="1"/>
  <c r="Y2" i="4" s="1"/>
  <c r="S1" i="4"/>
  <c r="H167" i="4" s="1"/>
  <c r="B5" i="1"/>
  <c r="B4" i="1"/>
  <c r="AU44" i="1"/>
  <c r="AV44" i="1"/>
  <c r="AV45" i="1"/>
  <c r="C39" i="1"/>
  <c r="C40" i="1"/>
  <c r="H193" i="4" l="1"/>
  <c r="N756" i="4"/>
  <c r="E909" i="4"/>
  <c r="AE750" i="3"/>
  <c r="AD750" i="3" s="1"/>
  <c r="N755" i="3"/>
  <c r="C938" i="3"/>
  <c r="F183" i="4"/>
  <c r="F213" i="3"/>
  <c r="V8" i="4"/>
  <c r="BL41" i="4"/>
  <c r="BL42" i="4" s="1"/>
  <c r="BA43" i="4"/>
  <c r="AF25" i="4" s="1"/>
  <c r="F184" i="4"/>
  <c r="O7" i="3"/>
  <c r="O19" i="3" s="1"/>
  <c r="C951" i="3"/>
  <c r="R39" i="4"/>
  <c r="O36" i="4" s="1"/>
  <c r="F182" i="4"/>
  <c r="V8" i="3"/>
  <c r="AI40" i="3"/>
  <c r="I890" i="3"/>
  <c r="F185" i="4"/>
  <c r="Q40" i="3"/>
  <c r="R40" i="3" s="1"/>
  <c r="O37" i="3" s="1"/>
  <c r="F186" i="4"/>
  <c r="E912" i="4"/>
  <c r="N8" i="3"/>
  <c r="N25" i="3" s="1"/>
  <c r="F32" i="3"/>
  <c r="F26" i="3"/>
  <c r="J66" i="3" s="1"/>
  <c r="K66" i="3" s="1"/>
  <c r="C18" i="3" s="1"/>
  <c r="C37" i="3" s="1"/>
  <c r="R39" i="3"/>
  <c r="O36" i="3" s="1"/>
  <c r="J797" i="3"/>
  <c r="K77" i="3"/>
  <c r="G145" i="3"/>
  <c r="G142" i="3" s="1"/>
  <c r="F143" i="3"/>
  <c r="M49" i="3"/>
  <c r="BF20" i="4"/>
  <c r="BF26" i="4" s="1"/>
  <c r="BM20" i="3"/>
  <c r="BM26" i="3" s="1"/>
  <c r="I902" i="3"/>
  <c r="BN20" i="3"/>
  <c r="BU24" i="3"/>
  <c r="BU22" i="3"/>
  <c r="BU27" i="3" s="1"/>
  <c r="BU26" i="3"/>
  <c r="BL20" i="3"/>
  <c r="BJ20" i="3"/>
  <c r="BK19" i="3" s="1"/>
  <c r="BI19" i="3"/>
  <c r="BF20" i="3"/>
  <c r="BF25" i="3" s="1"/>
  <c r="BS21" i="3"/>
  <c r="BS24" i="3" s="1"/>
  <c r="BM35" i="3"/>
  <c r="BM33" i="3" s="1"/>
  <c r="BN33" i="3" s="1"/>
  <c r="D949" i="3"/>
  <c r="D950" i="3" s="1"/>
  <c r="D951" i="3" s="1"/>
  <c r="D946" i="3" s="1"/>
  <c r="BM738" i="4"/>
  <c r="K77" i="4"/>
  <c r="F146" i="4"/>
  <c r="G145" i="4" s="1"/>
  <c r="G142" i="4" s="1"/>
  <c r="J39" i="3"/>
  <c r="P30" i="3"/>
  <c r="P31" i="3" s="1"/>
  <c r="P32" i="3" s="1"/>
  <c r="P33" i="3" s="1"/>
  <c r="Q29" i="3" s="1"/>
  <c r="Q30" i="3" s="1"/>
  <c r="F26" i="4"/>
  <c r="C17" i="4"/>
  <c r="F16" i="4" s="1"/>
  <c r="F30" i="4"/>
  <c r="F32" i="4" s="1"/>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P24" i="3"/>
  <c r="BP26" i="3"/>
  <c r="AR719" i="3"/>
  <c r="AR718" i="3" s="1"/>
  <c r="AY720" i="3" s="1"/>
  <c r="G960" i="3"/>
  <c r="AV742" i="3"/>
  <c r="BP23" i="3"/>
  <c r="X22" i="3"/>
  <c r="BS22" i="3"/>
  <c r="BS27" i="3" s="1"/>
  <c r="BL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s="1"/>
  <c r="K876" i="3" s="1"/>
  <c r="D940" i="3" s="1"/>
  <c r="Z814" i="3"/>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J39" i="4"/>
  <c r="P30" i="4"/>
  <c r="CS24" i="4"/>
  <c r="CS25" i="4" s="1"/>
  <c r="CS26" i="4" s="1"/>
  <c r="CS27" i="4" s="1"/>
  <c r="BN20" i="4"/>
  <c r="BP22" i="4"/>
  <c r="BF23" i="4"/>
  <c r="BP23" i="4"/>
  <c r="BL24" i="4"/>
  <c r="BM25" i="4"/>
  <c r="AI28" i="4"/>
  <c r="BM35" i="4"/>
  <c r="AW16" i="4"/>
  <c r="AW15" i="4" s="1"/>
  <c r="AV17" i="4" s="1"/>
  <c r="N81" i="4"/>
  <c r="M169" i="4" s="1"/>
  <c r="AB43" i="4"/>
  <c r="R19" i="4"/>
  <c r="V21" i="4"/>
  <c r="BM24" i="4"/>
  <c r="BE25" i="4"/>
  <c r="BM26" i="4"/>
  <c r="H779" i="4"/>
  <c r="H780" i="4"/>
  <c r="P107" i="4"/>
  <c r="J188" i="4" s="1"/>
  <c r="BM22" i="4"/>
  <c r="O24" i="4"/>
  <c r="BP25" i="4"/>
  <c r="BC27" i="4"/>
  <c r="AZ38" i="4" s="1"/>
  <c r="V32" i="4"/>
  <c r="W32" i="4" s="1"/>
  <c r="T29" i="4" s="1"/>
  <c r="D134" i="4" s="1"/>
  <c r="AY32" i="4"/>
  <c r="AY36" i="4" s="1"/>
  <c r="AY34" i="4" s="1"/>
  <c r="V33" i="4"/>
  <c r="W33" i="4" s="1"/>
  <c r="T30" i="4" s="1"/>
  <c r="D135" i="4" s="1"/>
  <c r="AI36" i="4"/>
  <c r="R40" i="4"/>
  <c r="O37" i="4" s="1"/>
  <c r="BK19" i="4"/>
  <c r="BP24" i="4"/>
  <c r="AF28" i="4"/>
  <c r="AG37" i="4" s="1"/>
  <c r="AX736" i="4"/>
  <c r="AA737" i="4" s="1"/>
  <c r="AM737" i="4" s="1"/>
  <c r="G911" i="4"/>
  <c r="G910" i="4"/>
  <c r="AX734" i="4"/>
  <c r="AE750" i="4"/>
  <c r="AD750" i="4" s="1"/>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E26" i="4" l="1"/>
  <c r="BF25" i="4"/>
  <c r="BF24" i="4"/>
  <c r="BJ29" i="3"/>
  <c r="BM23" i="3"/>
  <c r="BM34" i="3"/>
  <c r="BN34" i="3" s="1"/>
  <c r="BE22" i="4"/>
  <c r="BE27" i="4" s="1"/>
  <c r="BE24" i="4"/>
  <c r="F143" i="4"/>
  <c r="BS23" i="3"/>
  <c r="BM25" i="3"/>
  <c r="BM27" i="3" s="1"/>
  <c r="F31" i="4"/>
  <c r="F33" i="4" s="1"/>
  <c r="J66" i="4" s="1"/>
  <c r="K66" i="4" s="1"/>
  <c r="C18" i="4" s="1"/>
  <c r="C37" i="4" s="1"/>
  <c r="BG735" i="4"/>
  <c r="F205" i="4"/>
  <c r="I177" i="4" s="1"/>
  <c r="BM22" i="3"/>
  <c r="BF22" i="4"/>
  <c r="BF27" i="4" s="1"/>
  <c r="BM24" i="3"/>
  <c r="Q19" i="4"/>
  <c r="W81" i="4" s="1"/>
  <c r="BG733" i="4"/>
  <c r="BF23" i="3"/>
  <c r="BF24" i="3"/>
  <c r="BG739" i="4"/>
  <c r="BG732" i="4"/>
  <c r="BG737" i="4" s="1"/>
  <c r="BF22" i="3"/>
  <c r="BF27" i="3" s="1"/>
  <c r="BG734" i="4"/>
  <c r="BF26" i="3"/>
  <c r="BS26" i="3"/>
  <c r="BS25" i="3"/>
  <c r="BL29" i="3"/>
  <c r="BL25" i="3"/>
  <c r="BL22" i="3"/>
  <c r="BL27" i="3" s="1"/>
  <c r="AU41" i="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F222" i="4" l="1"/>
  <c r="F218" i="4"/>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BJ19" i="3" l="1"/>
  <c r="R13" i="3"/>
  <c r="R23" i="3" s="1"/>
  <c r="Y822" i="3"/>
  <c r="Z822" i="3" s="1"/>
  <c r="Y821" i="3"/>
  <c r="O713" i="3"/>
  <c r="O723" i="3" s="1"/>
  <c r="O724" i="3" s="1"/>
  <c r="F963" i="3"/>
  <c r="P708" i="3"/>
  <c r="P713" i="3"/>
  <c r="E947" i="3"/>
  <c r="T19" i="3"/>
  <c r="T24" i="3"/>
  <c r="R15" i="3"/>
  <c r="W90" i="3"/>
  <c r="BB89"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8" i="3" l="1"/>
  <c r="BP31" i="3" s="1"/>
  <c r="BM31" i="3" s="1"/>
  <c r="M770" i="4"/>
  <c r="M771" i="4" s="1"/>
  <c r="R26" i="3"/>
  <c r="R25" i="3"/>
  <c r="R27" i="3" s="1"/>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M771" i="3" l="1"/>
  <c r="G971" i="3"/>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T86" i="4"/>
  <c r="U86" i="4" s="1"/>
  <c r="V86" i="4" s="1"/>
  <c r="N96" i="4"/>
  <c r="R86" i="4"/>
  <c r="R87" i="4" s="1"/>
  <c r="L130" i="4"/>
  <c r="M182" i="4"/>
  <c r="J219" i="4" s="1"/>
  <c r="L131" i="4"/>
  <c r="S70" i="4" l="1"/>
  <c r="M183" i="4"/>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<sst xmlns="http://schemas.openxmlformats.org/spreadsheetml/2006/main" count="2763" uniqueCount="611">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</sst>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1">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של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C23" sqref="C23"/>
    </sheetView>
  </sheetViews>
  <sheetFormatPr defaultRowHeight="13.8" x14ac:dyDescent="0.25"/>
  <cols>
    <col min="1" max="1" width="31.3984375" customWidth="1"/>
    <col min="3" max="3" width="29.19921875" customWidth="1"/>
    <col min="4" max="4" width="29.3984375" customWidth="1"/>
    <col min="5" max="5" width="18.19921875" customWidth="1"/>
    <col min="7" max="7" width="34.09765625" customWidth="1"/>
  </cols>
  <sheetData>
    <row r="1" spans="1:7" ht="15" thickTop="1" thickBot="1" x14ac:dyDescent="0.3">
      <c r="A1" s="8" t="s">
        <v>35</v>
      </c>
      <c r="B1" s="9"/>
      <c r="C1" s="33" t="s">
        <v>74</v>
      </c>
      <c r="D1" s="33"/>
      <c r="E1" s="33"/>
      <c r="F1" s="26"/>
    </row>
    <row r="2" spans="1:7" ht="14.4" thickTop="1" x14ac:dyDescent="0.25">
      <c r="A2" s="1" t="s">
        <v>0</v>
      </c>
      <c r="B2" s="2" t="s">
        <v>1</v>
      </c>
      <c r="C2" t="s">
        <v>24</v>
      </c>
    </row>
    <row r="3" spans="1:7" x14ac:dyDescent="0.25">
      <c r="A3" s="1" t="s">
        <v>2</v>
      </c>
      <c r="B3" s="3">
        <v>29</v>
      </c>
      <c r="C3" t="s">
        <v>47</v>
      </c>
    </row>
    <row r="4" spans="1:7" x14ac:dyDescent="0.25">
      <c r="A4" s="1" t="s">
        <v>3</v>
      </c>
      <c r="B4" s="191">
        <f>IF(B9&gt;0%,0,6%)</f>
        <v>0</v>
      </c>
      <c r="C4" s="21" t="s">
        <v>36</v>
      </c>
      <c r="D4" s="21" t="s">
        <v>22</v>
      </c>
    </row>
    <row r="5" spans="1:7" x14ac:dyDescent="0.25">
      <c r="A5" s="1" t="s">
        <v>4</v>
      </c>
      <c r="B5" s="192">
        <f>IF(B2=B33,8.75,IF(B2=C33,8.75,0))</f>
        <v>8.75</v>
      </c>
      <c r="C5" s="21" t="s">
        <v>36</v>
      </c>
      <c r="D5" s="21" t="s">
        <v>23</v>
      </c>
    </row>
    <row r="6" spans="1:7" x14ac:dyDescent="0.25">
      <c r="A6" s="1" t="s">
        <v>38</v>
      </c>
      <c r="B6" s="5">
        <v>19.2</v>
      </c>
      <c r="C6" t="s">
        <v>24</v>
      </c>
    </row>
    <row r="7" spans="1:7" x14ac:dyDescent="0.25">
      <c r="A7" s="1" t="s">
        <v>5</v>
      </c>
      <c r="B7" s="4">
        <v>0</v>
      </c>
      <c r="C7" t="s">
        <v>45</v>
      </c>
    </row>
    <row r="8" spans="1:7" x14ac:dyDescent="0.25">
      <c r="A8" s="1" t="s">
        <v>37</v>
      </c>
      <c r="B8" s="4">
        <v>0.9</v>
      </c>
      <c r="C8" t="s">
        <v>44</v>
      </c>
    </row>
    <row r="9" spans="1:7" x14ac:dyDescent="0.25">
      <c r="A9" s="6" t="s">
        <v>6</v>
      </c>
      <c r="B9" s="4">
        <v>0.1</v>
      </c>
      <c r="C9" t="s">
        <v>46</v>
      </c>
    </row>
    <row r="10" spans="1:7" x14ac:dyDescent="0.25">
      <c r="A10" s="6" t="s">
        <v>7</v>
      </c>
      <c r="B10" s="4" t="s">
        <v>8</v>
      </c>
      <c r="C10" t="s">
        <v>25</v>
      </c>
      <c r="E10" s="10"/>
    </row>
    <row r="11" spans="1:7" ht="14.4" thickBot="1" x14ac:dyDescent="0.3">
      <c r="A11" s="16" t="s">
        <v>42</v>
      </c>
      <c r="B11" s="17" t="s">
        <v>28</v>
      </c>
      <c r="C11" t="s">
        <v>43</v>
      </c>
      <c r="E11" s="10"/>
    </row>
    <row r="12" spans="1:7" ht="14.4" thickTop="1" x14ac:dyDescent="0.25">
      <c r="A12" s="14" t="s">
        <v>42</v>
      </c>
      <c r="B12" s="15">
        <v>1</v>
      </c>
      <c r="C12" t="s">
        <v>51</v>
      </c>
    </row>
    <row r="13" spans="1:7" x14ac:dyDescent="0.25">
      <c r="A13" s="14" t="s">
        <v>30</v>
      </c>
      <c r="B13" s="15">
        <v>0.5</v>
      </c>
      <c r="C13" t="s">
        <v>50</v>
      </c>
    </row>
    <row r="14" spans="1:7" x14ac:dyDescent="0.25">
      <c r="A14" s="14" t="s">
        <v>31</v>
      </c>
      <c r="B14" s="15">
        <v>0.5</v>
      </c>
      <c r="C14" t="s">
        <v>49</v>
      </c>
      <c r="D14" t="s">
        <v>608</v>
      </c>
    </row>
    <row r="15" spans="1:7" ht="14.4" thickBot="1" x14ac:dyDescent="0.3">
      <c r="D15" s="13" t="s">
        <v>40</v>
      </c>
      <c r="E15" s="195">
        <v>0</v>
      </c>
      <c r="F15" s="196">
        <f>($E$15/24)+AX44</f>
        <v>0</v>
      </c>
      <c r="G15" s="11" t="s">
        <v>30</v>
      </c>
    </row>
    <row r="16" spans="1:7" ht="14.4" thickBot="1" x14ac:dyDescent="0.3">
      <c r="D16" s="13" t="s">
        <v>41</v>
      </c>
      <c r="E16" s="195">
        <v>25</v>
      </c>
      <c r="F16" s="196">
        <f>$E$16/30+AX45</f>
        <v>0.93333333333333335</v>
      </c>
      <c r="G16" s="11" t="s">
        <v>31</v>
      </c>
    </row>
    <row r="17" spans="1:69" x14ac:dyDescent="0.25">
      <c r="A17" s="6" t="s">
        <v>39</v>
      </c>
      <c r="C17" s="205"/>
      <c r="D17" s="205"/>
      <c r="E17" s="205"/>
    </row>
    <row r="18" spans="1:69" x14ac:dyDescent="0.25">
      <c r="C18" s="18"/>
      <c r="D18" s="18"/>
      <c r="E18" s="18"/>
      <c r="F18" s="6"/>
      <c r="H18" s="10"/>
    </row>
    <row r="19" spans="1:69" x14ac:dyDescent="0.25">
      <c r="A19" t="s">
        <v>48</v>
      </c>
      <c r="C19" s="18"/>
      <c r="D19" s="18"/>
      <c r="E19" s="18"/>
      <c r="F19" s="6"/>
      <c r="H19" s="10"/>
    </row>
    <row r="20" spans="1:69" ht="14.4" thickBot="1" x14ac:dyDescent="0.3">
      <c r="A20" s="7" t="s">
        <v>33</v>
      </c>
      <c r="B20" s="193">
        <v>2</v>
      </c>
      <c r="C20" s="18" t="s">
        <v>34</v>
      </c>
      <c r="D20" s="18"/>
      <c r="E20" s="18"/>
    </row>
    <row r="21" spans="1:69" ht="14.4" thickTop="1" x14ac:dyDescent="0.25">
      <c r="A21" s="6" t="s">
        <v>32</v>
      </c>
      <c r="B21" s="194">
        <v>8.2500000000000004E-2</v>
      </c>
      <c r="C21" s="18"/>
      <c r="D21" s="19"/>
      <c r="E21" s="18"/>
    </row>
    <row r="22" spans="1:69" x14ac:dyDescent="0.25">
      <c r="C22" s="18"/>
      <c r="D22" s="18"/>
      <c r="E22" s="18"/>
    </row>
    <row r="23" spans="1:69" x14ac:dyDescent="0.25">
      <c r="C23" s="18"/>
      <c r="D23" s="20"/>
      <c r="E23" s="20"/>
      <c r="F23" s="12"/>
    </row>
    <row r="24" spans="1:69" x14ac:dyDescent="0.25">
      <c r="B24" s="12"/>
      <c r="C24" s="18"/>
      <c r="D24" s="20"/>
      <c r="E24" s="20"/>
      <c r="F24" s="12"/>
    </row>
    <row r="25" spans="1:69" x14ac:dyDescent="0.25">
      <c r="A25" s="12"/>
      <c r="B25" s="12"/>
      <c r="C25" s="20"/>
      <c r="D25" s="20"/>
      <c r="E25" s="20"/>
      <c r="F25" s="12"/>
    </row>
    <row r="26" spans="1:69" x14ac:dyDescent="0.25">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25">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25">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25">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25">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25">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25">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9.6" x14ac:dyDescent="0.25">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25">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25">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25">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25">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25">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25">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0.19750000000000001</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25">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0.13500000000000001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25">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0.33250000000000002</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25">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25">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25">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25">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0.83333333333333337</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25">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25">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25">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25">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25">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25">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25">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25">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25">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25">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25">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25">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25">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25">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25">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25">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25">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25">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25">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25">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25">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25">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25">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0" priority="1">
      <formula>$B$11=$A$35</formula>
    </cfRule>
    <cfRule type="expression" dxfId="179"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4"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2" t="s">
        <v>52</v>
      </c>
      <c r="C1" s="23"/>
      <c r="D1" s="24"/>
      <c r="E1" s="24"/>
      <c r="F1" s="25"/>
      <c r="G1" s="26"/>
      <c r="H1" s="26" t="s">
        <v>53</v>
      </c>
      <c r="I1" s="26"/>
      <c r="J1" s="26"/>
      <c r="K1" s="26"/>
      <c r="L1" s="26"/>
      <c r="M1" s="26"/>
      <c r="N1" s="26"/>
      <c r="O1" s="26"/>
      <c r="P1" s="26" t="e">
        <f>N82</f>
        <v>#N/A</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8" thickTop="1" thickBot="1" x14ac:dyDescent="0.35">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81</v>
      </c>
      <c r="E6" s="37"/>
      <c r="F6" s="40"/>
      <c r="G6" s="26"/>
      <c r="H6" s="26"/>
      <c r="I6" s="26"/>
      <c r="J6" s="26"/>
      <c r="K6" s="26"/>
      <c r="L6" s="26"/>
      <c r="M6" s="26"/>
      <c r="N6" s="26" t="s">
        <v>82</v>
      </c>
      <c r="O6" s="26" t="s">
        <v>83</v>
      </c>
      <c r="P6" s="26">
        <f>P4*C9</f>
        <v>0</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0</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0</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25">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25">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0</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5">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5">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5">
      <c r="B25" s="57" t="s">
        <v>261</v>
      </c>
      <c r="C25" s="57">
        <v>1</v>
      </c>
      <c r="D25" s="57">
        <v>0</v>
      </c>
      <c r="E25" s="57">
        <v>0</v>
      </c>
      <c r="F25" s="204">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5">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366.65056266641858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
      <c r="C27" s="60"/>
      <c r="D27" s="60" t="s">
        <v>182</v>
      </c>
      <c r="E27" s="60"/>
      <c r="G27" s="26"/>
      <c r="H27" s="26"/>
      <c r="I27" s="26"/>
      <c r="J27" s="26"/>
      <c r="K27" s="26"/>
      <c r="L27" s="26"/>
      <c r="M27" s="26"/>
      <c r="N27" s="26"/>
      <c r="O27" s="26"/>
      <c r="P27" s="26"/>
      <c r="Q27" s="26"/>
      <c r="R27" s="26">
        <f>SUM(R10:R26)</f>
        <v>8167.7263640795791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5">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5">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5">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5">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5">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5">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5">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5">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5">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5">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5">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5">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5">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5">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5">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5">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5">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5">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5">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5">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5">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5">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5">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5">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5">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5">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5">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5">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5">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5">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5">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5">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5">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5">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5">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5">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5">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5">
      <c r="B70" s="26"/>
      <c r="C70" s="26"/>
      <c r="D70" s="26"/>
      <c r="E70" s="26"/>
      <c r="F70" s="26"/>
      <c r="G70" s="26"/>
      <c r="H70" s="26"/>
      <c r="I70" s="26"/>
      <c r="J70" s="26"/>
      <c r="K70" s="26"/>
      <c r="L70" s="26"/>
      <c r="M70" s="26"/>
      <c r="N70" s="26"/>
      <c r="O70" s="26">
        <v>755</v>
      </c>
      <c r="P70" s="26"/>
      <c r="Q70" s="26"/>
      <c r="R70" s="26" t="s">
        <v>440</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5">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5">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5">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5">
      <c r="B74" s="26"/>
      <c r="C74" s="26"/>
      <c r="D74" s="26"/>
      <c r="E74" s="26"/>
      <c r="F74" s="26"/>
      <c r="G74" s="26"/>
      <c r="H74" s="26"/>
      <c r="I74" s="26" t="s">
        <v>448</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5">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5">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5">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5">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5">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5">
      <c r="B80" s="26"/>
      <c r="C80" s="26"/>
      <c r="D80" s="26"/>
      <c r="E80" s="26"/>
      <c r="F80" s="26"/>
      <c r="G80" s="26"/>
      <c r="H80" s="26"/>
      <c r="I80" s="26"/>
      <c r="J80" s="26"/>
      <c r="K80" s="26"/>
      <c r="L80" s="26"/>
      <c r="M80" s="26" t="s">
        <v>453</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5">
      <c r="B81" s="26"/>
      <c r="C81" s="26"/>
      <c r="D81" s="26"/>
      <c r="E81" s="26"/>
      <c r="F81" s="26"/>
      <c r="G81" s="26"/>
      <c r="H81" s="26"/>
      <c r="I81" s="26"/>
      <c r="J81" s="26"/>
      <c r="K81" s="26"/>
      <c r="L81" s="26"/>
      <c r="M81" s="26" t="s">
        <v>278</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5">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5">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5">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5">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5">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5">
      <c r="A87" t="s">
        <v>59</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5">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5">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5">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5">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5">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5">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5">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5">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5">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5">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5">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5">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5">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5">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5">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5">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5">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5">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5">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5">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5">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5">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5">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5">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5">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5">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5">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5">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5">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5">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5">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5">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5">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5">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5">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5">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5">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5">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5">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5">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5">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5">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5">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5">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5">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5">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5">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5">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5">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5">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5">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5">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5">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5">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5">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5">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5">
      <c r="B144" s="26" t="s">
        <v>487</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5">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5">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5">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5">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5">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5">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5">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5">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5">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5">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5">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5">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5">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5">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5">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5">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5">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5">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5">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5">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5">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5">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5">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5">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5">
      <c r="B169" s="26" t="s">
        <v>71</v>
      </c>
      <c r="C169" s="26" t="s">
        <v>509</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5">
      <c r="B170" s="26"/>
      <c r="C170" s="26" t="s">
        <v>510</v>
      </c>
      <c r="D170" s="26"/>
      <c r="E170" s="26"/>
      <c r="F170" s="26"/>
      <c r="G170" s="26">
        <v>9</v>
      </c>
      <c r="H170" s="26" t="s">
        <v>59</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5">
      <c r="B171" s="26"/>
      <c r="C171" s="26" t="s">
        <v>511</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5">
      <c r="B172" s="26" t="s">
        <v>512</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5">
      <c r="B173" s="26" t="s">
        <v>59</v>
      </c>
      <c r="C173" s="26"/>
      <c r="D173" s="26"/>
      <c r="E173" s="26"/>
      <c r="F173" s="26" t="s">
        <v>198</v>
      </c>
      <c r="G173" s="26"/>
      <c r="H173" s="26" t="s">
        <v>513</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5">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5">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5">
      <c r="B176" s="26"/>
      <c r="C176" s="26" t="s">
        <v>515</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5">
      <c r="B177" s="26"/>
      <c r="C177" s="26" t="s">
        <v>516</v>
      </c>
      <c r="D177" s="26" t="s">
        <v>59</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5">
      <c r="B178" s="26"/>
      <c r="C178" s="26" t="s">
        <v>517</v>
      </c>
      <c r="D178" s="26" t="s">
        <v>518</v>
      </c>
      <c r="E178" s="26"/>
      <c r="F178" s="26" t="s">
        <v>519</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5">
      <c r="B179" s="26"/>
      <c r="C179" s="26" t="s">
        <v>477</v>
      </c>
      <c r="D179" s="26" t="s">
        <v>520</v>
      </c>
      <c r="E179" s="26"/>
      <c r="F179" s="26" t="s">
        <v>521</v>
      </c>
      <c r="G179" s="26" t="e">
        <f>#REF!</f>
        <v>#REF!</v>
      </c>
      <c r="H179" s="26"/>
      <c r="I179" s="26" t="s">
        <v>59</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5">
      <c r="B180" s="26"/>
      <c r="C180" s="26" t="s">
        <v>522</v>
      </c>
      <c r="D180" s="26" t="s">
        <v>476</v>
      </c>
      <c r="E180" s="26"/>
      <c r="F180" s="26" t="s">
        <v>523</v>
      </c>
      <c r="G180" s="26">
        <f>G202</f>
        <v>52.87</v>
      </c>
      <c r="H180" s="26"/>
      <c r="I180" s="26" t="s">
        <v>59</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5">
      <c r="B181" s="26"/>
      <c r="C181" s="26" t="s">
        <v>524</v>
      </c>
      <c r="D181" s="26" t="s">
        <v>525</v>
      </c>
      <c r="E181" s="26"/>
      <c r="F181" s="26"/>
      <c r="G181" s="26" t="s">
        <v>526</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5">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5">
      <c r="B183" s="26"/>
      <c r="C183" s="26" t="s">
        <v>529</v>
      </c>
      <c r="D183" s="26" t="s">
        <v>479</v>
      </c>
      <c r="E183" s="26"/>
      <c r="F183" s="26" t="e">
        <f>#REF!/#REF!*F187</f>
        <v>#REF!</v>
      </c>
      <c r="G183" s="26" t="s">
        <v>530</v>
      </c>
      <c r="H183" s="26"/>
      <c r="I183" s="26"/>
      <c r="J183" s="26" t="s">
        <v>59</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5">
      <c r="B184" s="26"/>
      <c r="C184" s="26" t="s">
        <v>531</v>
      </c>
      <c r="D184" s="26"/>
      <c r="E184" s="26"/>
      <c r="F184" s="26" t="e">
        <f>#REF!/#REF!*F187</f>
        <v>#REF!</v>
      </c>
      <c r="G184" s="26" t="s">
        <v>532</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5">
      <c r="B185" s="26"/>
      <c r="C185" s="26"/>
      <c r="D185" s="26" t="s">
        <v>533</v>
      </c>
      <c r="E185" s="26"/>
      <c r="F185" s="26" t="e">
        <f>#REF!/#REF!*F187</f>
        <v>#REF!</v>
      </c>
      <c r="G185" s="26" t="s">
        <v>534</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5">
      <c r="B186" s="26" t="s">
        <v>535</v>
      </c>
      <c r="C186" s="26" t="str">
        <f>C5</f>
        <v>ב"א</v>
      </c>
      <c r="D186" s="26"/>
      <c r="E186" s="26"/>
      <c r="F186" s="26" t="e">
        <f>#REF!/#REF!*F187</f>
        <v>#REF!</v>
      </c>
      <c r="G186" s="26" t="s">
        <v>536</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5">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5">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5">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5">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5">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5">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5">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5">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5">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5">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5">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5">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5">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5">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5">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5">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5">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5">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5">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5">
      <c r="B207" s="26"/>
      <c r="C207" s="26" t="s">
        <v>559</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5">
      <c r="B208" s="26" t="s">
        <v>59</v>
      </c>
      <c r="C208" s="26" t="s">
        <v>560</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5">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5">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5">
      <c r="B211" s="26"/>
      <c r="C211" s="26"/>
      <c r="D211" s="26"/>
      <c r="E211" s="26"/>
      <c r="F211" s="26">
        <f>IF(BG65=X6,0,IF(BG65=X7,10%*P96,IF(BG65=X8,20%*P96,IF(BG65=X9,11.5%*P96,6%*P96))))</f>
        <v>0</v>
      </c>
      <c r="G211" s="26" t="s">
        <v>59</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5">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5">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5">
      <c r="B214" s="26" t="s">
        <v>545</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5">
      <c r="B215" s="26"/>
      <c r="C215" s="26"/>
      <c r="D215" s="26"/>
      <c r="E215" s="26"/>
      <c r="F215" s="26" t="e">
        <f>J187*F214</f>
        <v>#REF!</v>
      </c>
      <c r="G215" s="26" t="s">
        <v>59</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5">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5">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5">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5">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5">
      <c r="B220" s="26"/>
      <c r="C220" s="26"/>
      <c r="D220" s="26"/>
      <c r="E220" s="26"/>
      <c r="F220" s="26">
        <v>0</v>
      </c>
      <c r="G220" s="26" t="s">
        <v>561</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5">
      <c r="B221" s="26"/>
      <c r="C221" s="26"/>
      <c r="D221" s="26"/>
      <c r="E221" s="26"/>
      <c r="F221" s="26">
        <v>0</v>
      </c>
      <c r="G221" s="26" t="s">
        <v>562</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5">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5">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5">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5">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5">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5">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5">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5">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5">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5">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5">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5">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5">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5">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5">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5">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5">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5">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5">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5">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5">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5">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5">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5">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5">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5">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5">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5">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5">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5">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5">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5">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5">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5">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5">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5">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5">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5">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5">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5">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5">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5">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5">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5">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5">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5">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5">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5">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5">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5">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5">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5">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5">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5">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5">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5">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5">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5">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5">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5">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5">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5">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5">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5">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5">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5">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5">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5">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5">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5">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5">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5">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5">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5">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5">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5">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5">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5">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5">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5">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5">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5">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5">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5">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5">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5">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5">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5">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5">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5">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5">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5">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5">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5">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5">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5">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5">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5">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5">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5">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5">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5">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5">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5">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5">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5">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5">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5">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5">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5">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5">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5">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5">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5">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5">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5">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5">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5">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5">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5">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5">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5">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5">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5">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5">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5">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5">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5">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5">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5">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5">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5">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5">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5">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5">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5">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5">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5">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5">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5">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5">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5">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5">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5">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5">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5">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5">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5">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5">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5">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5">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5">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5">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5">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5">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5">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5">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5">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5">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5">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5">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5">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5">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5">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5">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5">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5">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5">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5">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5">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5">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5">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5">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5">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5">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5">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5">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5">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5">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5">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5">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5">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5">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5">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5">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5">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5">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5">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5">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5">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5">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5">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5">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5">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5">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5">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5">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5">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5">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5">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5">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5">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5">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5">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5">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5">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5">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5">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5">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5">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5">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5">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5">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5">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5">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5">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5">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5">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5">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5">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5">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5">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5">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5">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5">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5">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5">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5">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5">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5">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5">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5">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5">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5">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5">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5">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5">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5">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5">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5">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5">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5">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5">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5">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5">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5">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5">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5">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5">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5">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5">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5">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5">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5">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5">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5">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5">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5">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5">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5">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5">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5">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5">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5">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5">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5">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5">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5">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5">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5">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5">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5">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5">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5">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5">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5">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5">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5">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5">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5">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5">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5">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5">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5">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5">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5">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5">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5">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5">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5">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5">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5">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5">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5">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5">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5">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5">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5">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5">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5">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5">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5">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5">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5">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5">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5">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5">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5">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5">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5">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5">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5">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5">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5">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5">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5">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5">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5">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5">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5">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5">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5">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5">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5">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5">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5">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5">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5">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5">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5">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5">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5">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5">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5">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5">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5">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5">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5">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5">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5">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5">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5">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5">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5">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5">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5">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5">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5">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5">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5">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5">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5">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5">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5">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5">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5">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5">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5">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5">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5">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5">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5">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5">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5">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5">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5">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5">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5">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5">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5">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5">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5">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5">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5">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5">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5">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5">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5">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5">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5">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5">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5">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5">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5">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5">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5">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5">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5">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5">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5">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5">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5">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5">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5">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5">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5">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5">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5">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5">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5">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5">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5">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5">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5">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5">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5">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5">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5">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5">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5">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5">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5">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5">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5">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5">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5">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5">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5">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5">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5">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5">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5">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5">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5">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5">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5">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5">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5">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5">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5">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5">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5">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5">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5">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5">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5">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5">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5">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5">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5">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5">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5">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5">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5">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5">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5">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5">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5">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5">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5">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5">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5">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5">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5">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5">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5">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5">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5">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5">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5">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5">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5">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5">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5">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5">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5">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5">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5">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5">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5">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5">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5">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5">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5">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5">
      <c r="G710" s="26"/>
      <c r="H710" s="26"/>
      <c r="I710" s="26"/>
      <c r="J710" s="26"/>
      <c r="K710" s="26"/>
      <c r="L710" s="26"/>
      <c r="M710" s="26"/>
      <c r="N710" s="26"/>
      <c r="O710" s="26">
        <f ca="1">ROUND((I775-AL723)/365.25,2)</f>
        <v>67.25</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5">
      <c r="G711" s="26"/>
      <c r="H711" s="26"/>
      <c r="I711" s="26"/>
      <c r="J711" s="26"/>
      <c r="K711" s="26"/>
      <c r="L711" s="26"/>
      <c r="M711" s="26"/>
      <c r="N711" s="26"/>
      <c r="O711" s="26">
        <f ca="1">IF(BB769=CB719,59-O710,60-O710)</f>
        <v>-7.25</v>
      </c>
      <c r="P711" s="26" t="s">
        <v>96</v>
      </c>
      <c r="Q711" s="26">
        <f ca="1">Q710+O711</f>
        <v>-6.89</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5">
      <c r="G712" s="26"/>
      <c r="H712" s="26"/>
      <c r="I712" s="26"/>
      <c r="J712" s="26"/>
      <c r="K712" s="26"/>
      <c r="L712" s="26"/>
      <c r="M712" s="26"/>
      <c r="N712" s="26"/>
      <c r="O712" s="26">
        <f ca="1">IF(AD738+O711&gt;36,36,AD738+O711)</f>
        <v>25.75</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5">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5">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5">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5">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5">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5">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5">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5">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06/2018</v>
      </c>
      <c r="AY720" s="26">
        <f ca="1">YEAR(AQ719+I775)+AR718</f>
        <v>2018</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5">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5">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5">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5">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5">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5">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5">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5">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5">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5">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5">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5">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5">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5">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5">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5">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5">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19</v>
      </c>
      <c r="AB737" s="26"/>
      <c r="AC737" s="26"/>
      <c r="AD737" s="26" t="s">
        <v>280</v>
      </c>
      <c r="AE737" s="26" t="s">
        <v>281</v>
      </c>
      <c r="AF737" s="26" t="s">
        <v>282</v>
      </c>
      <c r="AG737" s="26" t="s">
        <v>283</v>
      </c>
      <c r="AH737" s="26">
        <v>40147</v>
      </c>
      <c r="AI737" s="26"/>
      <c r="AJ737" s="26"/>
      <c r="AK737" s="26"/>
      <c r="AL737" s="26" t="s">
        <v>59</v>
      </c>
      <c r="AM737" s="26">
        <f ca="1">VLOOKUP(AA737,__HAV2,2,TRUE)</f>
        <v>11</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5">
      <c r="G738" s="26"/>
      <c r="H738" s="26"/>
      <c r="I738" s="26"/>
      <c r="J738" s="26"/>
      <c r="K738" s="26"/>
      <c r="L738" s="26"/>
      <c r="M738" s="26" t="s">
        <v>54</v>
      </c>
      <c r="N738" s="26">
        <f ca="1">ROUND((I775-AT720)/365.25,2)</f>
        <v>14.74</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5">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19</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5">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5">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45658</v>
      </c>
      <c r="AK741" s="26">
        <f ca="1">ROUND((AJ741-AL732)/365.25,2)</f>
        <v>46.34</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5">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-13</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5">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5">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-2.1666666666666664E-2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5">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5">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-1.0833333333333333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5">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5">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-14</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5">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5">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5">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5">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5">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5">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5">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5">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5">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5">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5">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5">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5">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5">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5">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5">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5">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5">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5">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5">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5">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5">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5">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5">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5">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5">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5">
      <c r="G775" s="26"/>
      <c r="H775" s="26" t="s">
        <v>575</v>
      </c>
      <c r="I775" s="26">
        <f ca="1">TODAY()</f>
        <v>45826</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5">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5">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5">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5">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5">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5">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5">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5">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5">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5">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5">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5">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5">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5">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5">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5">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5">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5">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5">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5">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5">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5">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5">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5">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5">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5">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5">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5">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5">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5">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5">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5">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5">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5">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5">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5">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5">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5">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5">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5">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5">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5">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5">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5">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5">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5">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5">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5">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5">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5">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5">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5">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5">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5">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5">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5">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5">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5">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5">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5">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5">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5">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5">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5">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5">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5">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5">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5">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5">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5">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5">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5">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5">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5">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5">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5">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5">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5">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5">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5">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5">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5">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5">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5">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5">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5">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5">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5">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5">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5">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5">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5">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5">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5">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5">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5">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5">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5">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5">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5">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5">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5">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5">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5">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5">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5">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5">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5">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5">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5">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5">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5">
      <c r="G887" s="26"/>
      <c r="H887" s="26"/>
      <c r="I887" s="26"/>
      <c r="J887" s="26"/>
      <c r="K887" s="26">
        <f ca="1">(F927-O710)*2.4%</f>
        <v>-0.34512000000000009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5">
      <c r="G888" s="26"/>
      <c r="H888" s="26">
        <f ca="1">DATE(YEAR(I775),MONTH(I775)-MONTH(I775)+1,DAY(I775)-DAY(I775)+1)</f>
        <v>45658</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5">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5">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5">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5">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5">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5">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5">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5">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4" thickBot="1" x14ac:dyDescent="0.3">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4"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2" thickBot="1" x14ac:dyDescent="0.35">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2" thickBot="1" x14ac:dyDescent="0.35">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2"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5">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4" thickBot="1" x14ac:dyDescent="0.3">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4" thickTop="1" x14ac:dyDescent="0.25">
      <c r="B906" s="83" t="e">
        <f>#REF!</f>
        <v>#REF!</v>
      </c>
      <c r="C906" s="84" t="s">
        <v>543</v>
      </c>
      <c r="D906" s="85" t="s">
        <v>59</v>
      </c>
      <c r="E906" s="86" t="e">
        <f>#REF!/#REF!*E911</f>
        <v>#REF!</v>
      </c>
      <c r="F906" s="87" t="s">
        <v>526</v>
      </c>
      <c r="G906" s="26">
        <f ca="1">IF(ABS(BB771-AK741+AT739)&lt;0.26,0,BB771-AK741+AT739)</f>
        <v>-13.340000000000003</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4" thickBot="1" x14ac:dyDescent="0.3">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8" thickTop="1" thickBot="1" x14ac:dyDescent="0.35">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8" thickTop="1" thickBot="1" x14ac:dyDescent="0.35">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8.600000000000001" thickTop="1" thickBot="1" x14ac:dyDescent="0.3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4"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4"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4" thickBot="1" x14ac:dyDescent="0.3">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4" thickTop="1" x14ac:dyDescent="0.25">
      <c r="B919" s="76"/>
      <c r="C919" s="130" t="s">
        <v>559</v>
      </c>
      <c r="D919" s="107"/>
      <c r="E919" s="131"/>
      <c r="G919" s="26">
        <f ca="1">N738</f>
        <v>14.74</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6" x14ac:dyDescent="0.3">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5">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5">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5">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5">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5">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2" thickBot="1" x14ac:dyDescent="0.35">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8.600000000000001" thickTop="1" thickBot="1" x14ac:dyDescent="0.3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4" thickTop="1" x14ac:dyDescent="0.25">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5">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5">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5">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5">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5">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5">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5">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5">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5">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5">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5">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5">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5">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4" thickBot="1" x14ac:dyDescent="0.3">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8.600000000000001" thickTop="1" thickBot="1" x14ac:dyDescent="0.3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8" thickTop="1" thickBot="1" x14ac:dyDescent="0.35">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4" thickTop="1" x14ac:dyDescent="0.25">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4" thickBot="1" x14ac:dyDescent="0.3">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4" thickTop="1" x14ac:dyDescent="0.25">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5">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5">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5">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5">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5">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5">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4" thickBot="1" x14ac:dyDescent="0.3">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4" thickTop="1" x14ac:dyDescent="0.25">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5">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5">
      <c r="B964" s="63"/>
      <c r="D964" s="163" t="s">
        <v>94</v>
      </c>
      <c r="E964" s="164">
        <f>IF(G946&lt;26,'[1]נתוני מס'!I18*AX737,'[1]נתוני מס'!I19*AX737)</f>
        <v>2014</v>
      </c>
      <c r="F964" s="165">
        <f>E964*G960</f>
        <v>1202.5593999999999</v>
      </c>
      <c r="G964" s="26">
        <f ca="1">E965/12*G911</f>
        <v>216.19995833333331</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4" thickBot="1" x14ac:dyDescent="0.3">
      <c r="B965" s="63"/>
      <c r="D965" s="166" t="s">
        <v>102</v>
      </c>
      <c r="E965" s="167">
        <f ca="1">AM722*AM737*AX737</f>
        <v>4345</v>
      </c>
      <c r="F965" s="168">
        <f ca="1">G960*E965</f>
        <v>2594.3995</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4" thickTop="1" x14ac:dyDescent="0.25">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5">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5">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5">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5">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5">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 thickBot="1" x14ac:dyDescent="0.3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4" thickTop="1" x14ac:dyDescent="0.25">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6" x14ac:dyDescent="0.3">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5">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5">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5">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5">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5">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5">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5">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B2">
    <cfRule type="expression" dxfId="178" priority="70" stopIfTrue="1">
      <formula>$AB$17=AE44</formula>
    </cfRule>
  </conditionalFormatting>
  <conditionalFormatting sqref="B905 E905">
    <cfRule type="expression" dxfId="177" priority="74" stopIfTrue="1">
      <formula>$AF$707=Z754</formula>
    </cfRule>
  </conditionalFormatting>
  <conditionalFormatting sqref="B35:C35">
    <cfRule type="expression" dxfId="176" priority="12" stopIfTrue="1">
      <formula>$C$19=$F$18</formula>
    </cfRule>
  </conditionalFormatting>
  <conditionalFormatting sqref="B906:E906 B910:E910">
    <cfRule type="expression" dxfId="175" priority="125" stopIfTrue="1">
      <formula>$W$742=$S$735</formula>
    </cfRule>
  </conditionalFormatting>
  <conditionalFormatting sqref="B912:E913">
    <cfRule type="expression" dxfId="174" priority="124" stopIfTrue="1">
      <formula>$E$913=0</formula>
    </cfRule>
  </conditionalFormatting>
  <conditionalFormatting sqref="B27:F33">
    <cfRule type="expression" dxfId="173" priority="35" stopIfTrue="1">
      <formula>$C$19=$F$18</formula>
    </cfRule>
  </conditionalFormatting>
  <conditionalFormatting sqref="B917:F918">
    <cfRule type="expression" dxfId="172" priority="86" stopIfTrue="1">
      <formula>#REF!=0</formula>
    </cfRule>
  </conditionalFormatting>
  <conditionalFormatting sqref="C905">
    <cfRule type="expression" dxfId="171" priority="76" stopIfTrue="1">
      <formula>$AF$707=AC754</formula>
    </cfRule>
  </conditionalFormatting>
  <conditionalFormatting sqref="C24:E24 C28:E28">
    <cfRule type="expression" dxfId="170" priority="6" stopIfTrue="1">
      <formula>$C$10="חטיבת ביניים"</formula>
    </cfRule>
    <cfRule type="expression" dxfId="169" priority="7" stopIfTrue="1">
      <formula>$C$10="ז-ח"</formula>
    </cfRule>
    <cfRule type="expression" dxfId="168" priority="8" stopIfTrue="1">
      <formula>$C$10="א-ו"</formula>
    </cfRule>
  </conditionalFormatting>
  <conditionalFormatting sqref="C919:E920">
    <cfRule type="expression" dxfId="167" priority="88" stopIfTrue="1">
      <formula>$E$913=0</formula>
    </cfRule>
  </conditionalFormatting>
  <conditionalFormatting sqref="C24:F24 C23:E23 B25:F26">
    <cfRule type="expression" dxfId="166" priority="36" stopIfTrue="1">
      <formula>$C$19=$F$19</formula>
    </cfRule>
  </conditionalFormatting>
  <conditionalFormatting sqref="C915:F916">
    <cfRule type="expression" dxfId="165" priority="122" stopIfTrue="1">
      <formula>$F$915=0</formula>
    </cfRule>
  </conditionalFormatting>
  <conditionalFormatting sqref="D905">
    <cfRule type="expression" dxfId="164" priority="75" stopIfTrue="1">
      <formula>$AF$707=AC754</formula>
    </cfRule>
  </conditionalFormatting>
  <conditionalFormatting sqref="E930:E945">
    <cfRule type="cellIs" dxfId="163" priority="129" stopIfTrue="1" operator="equal">
      <formula>0</formula>
    </cfRule>
  </conditionalFormatting>
  <conditionalFormatting sqref="E968:E969">
    <cfRule type="expression" dxfId="162" priority="127" stopIfTrue="1">
      <formula>$E$969&lt;0</formula>
    </cfRule>
  </conditionalFormatting>
  <conditionalFormatting sqref="E972:E974 D974">
    <cfRule type="expression" dxfId="161" priority="126" stopIfTrue="1">
      <formula>$E$974&lt;=0</formula>
    </cfRule>
  </conditionalFormatting>
  <conditionalFormatting sqref="E903:F903 F958:F959">
    <cfRule type="expression" dxfId="160" priority="85" stopIfTrue="1">
      <formula>$F$905&gt;67</formula>
    </cfRule>
  </conditionalFormatting>
  <conditionalFormatting sqref="E904:F904">
    <cfRule type="expression" dxfId="159" priority="95" stopIfTrue="1">
      <formula>$F$904&lt;64</formula>
    </cfRule>
  </conditionalFormatting>
  <conditionalFormatting sqref="F24">
    <cfRule type="expression" dxfId="158" priority="40" stopIfTrue="1">
      <formula>$C$39=0</formula>
    </cfRule>
  </conditionalFormatting>
  <conditionalFormatting sqref="F28">
    <cfRule type="expression" dxfId="157" priority="39" stopIfTrue="1">
      <formula>$C$39=0</formula>
    </cfRule>
  </conditionalFormatting>
  <conditionalFormatting sqref="F33">
    <cfRule type="expression" dxfId="156" priority="37" stopIfTrue="1">
      <formula>$C$39=0</formula>
    </cfRule>
  </conditionalFormatting>
  <conditionalFormatting sqref="F905">
    <cfRule type="expression" dxfId="155" priority="72" stopIfTrue="1">
      <formula>$AF$707=AC754</formula>
    </cfRule>
  </conditionalFormatting>
  <conditionalFormatting sqref="F907">
    <cfRule type="expression" dxfId="154" priority="101" stopIfTrue="1">
      <formula>$BB$786=0</formula>
    </cfRule>
  </conditionalFormatting>
  <conditionalFormatting sqref="G901 E902:F902">
    <cfRule type="expression" dxfId="153" priority="92" stopIfTrue="1">
      <formula>$W$742=$S$735</formula>
    </cfRule>
  </conditionalFormatting>
  <conditionalFormatting sqref="G904">
    <cfRule type="expression" dxfId="152" priority="73" stopIfTrue="1">
      <formula>$AF$707=AC754</formula>
    </cfRule>
  </conditionalFormatting>
  <conditionalFormatting sqref="G906">
    <cfRule type="expression" dxfId="151" priority="100" stopIfTrue="1">
      <formula>$G$906=0</formula>
    </cfRule>
  </conditionalFormatting>
  <conditionalFormatting sqref="G909 F910">
    <cfRule type="expression" dxfId="150" priority="91" stopIfTrue="1">
      <formula>$W$742=$S$735</formula>
    </cfRule>
  </conditionalFormatting>
  <conditionalFormatting sqref="G911 F912">
    <cfRule type="expression" dxfId="149" priority="93" stopIfTrue="1">
      <formula>$W$742=$S$735</formula>
    </cfRule>
  </conditionalFormatting>
  <conditionalFormatting sqref="G25:H25">
    <cfRule type="expression" dxfId="148" priority="5" stopIfTrue="1">
      <formula>$C$39=0</formula>
    </cfRule>
  </conditionalFormatting>
  <conditionalFormatting sqref="H21:H22 H23:I23 H24 H26:H30 I26:I32 I34">
    <cfRule type="expression" dxfId="147" priority="64" stopIfTrue="1">
      <formula>$C$39=0</formula>
    </cfRule>
  </conditionalFormatting>
  <conditionalFormatting sqref="H778">
    <cfRule type="expression" dxfId="146" priority="67" stopIfTrue="1">
      <formula>$C$59=1</formula>
    </cfRule>
    <cfRule type="expression" dxfId="145" priority="68" stopIfTrue="1">
      <formula>$C$59=0</formula>
    </cfRule>
  </conditionalFormatting>
  <conditionalFormatting sqref="H779:H791 Z810:Z827 I29:I31 N754 H797 X810:Y820 X821:X823 X824:Y825 X826:X827">
    <cfRule type="expression" dxfId="144" priority="83" stopIfTrue="1">
      <formula>$C$59=0</formula>
    </cfRule>
  </conditionalFormatting>
  <conditionalFormatting sqref="H779:H796 Z810:Z827">
    <cfRule type="expression" dxfId="143" priority="69" stopIfTrue="1">
      <formula>$C$54=1</formula>
    </cfRule>
  </conditionalFormatting>
  <conditionalFormatting sqref="H792:H796">
    <cfRule type="expression" dxfId="142" priority="66" stopIfTrue="1">
      <formula>$C$58=0</formula>
    </cfRule>
  </conditionalFormatting>
  <conditionalFormatting sqref="H867">
    <cfRule type="expression" dxfId="141" priority="71" stopIfTrue="1">
      <formula>$AF$707=AC754</formula>
    </cfRule>
  </conditionalFormatting>
  <conditionalFormatting sqref="H868:H870 G905 F906">
    <cfRule type="expression" dxfId="140" priority="102" stopIfTrue="1">
      <formula>$V$745&gt;0</formula>
    </cfRule>
  </conditionalFormatting>
  <conditionalFormatting sqref="H871">
    <cfRule type="expression" dxfId="139" priority="51" stopIfTrue="1">
      <formula>ROUND($H$871,2)=ROUND($G$908,2)</formula>
    </cfRule>
  </conditionalFormatting>
  <conditionalFormatting sqref="H873 G910 F911">
    <cfRule type="expression" dxfId="138" priority="65" stopIfTrue="1">
      <formula>$E$110&lt;&gt;0</formula>
    </cfRule>
  </conditionalFormatting>
  <conditionalFormatting sqref="H876 G913 F914">
    <cfRule type="expression" dxfId="137" priority="94" stopIfTrue="1">
      <formula>$W$742=$S$735</formula>
    </cfRule>
  </conditionalFormatting>
  <conditionalFormatting sqref="H879 G916 H924:H925">
    <cfRule type="expression" dxfId="136" priority="120" stopIfTrue="1">
      <formula>$Z$717&lt;100%</formula>
    </cfRule>
  </conditionalFormatting>
  <conditionalFormatting sqref="J21:J28 J30">
    <cfRule type="expression" dxfId="135" priority="2" stopIfTrue="1">
      <formula>$C$9=1</formula>
    </cfRule>
  </conditionalFormatting>
  <conditionalFormatting sqref="J21:J32">
    <cfRule type="expression" dxfId="134" priority="3" stopIfTrue="1">
      <formula>$C$39=0</formula>
    </cfRule>
  </conditionalFormatting>
  <conditionalFormatting sqref="J29">
    <cfRule type="expression" dxfId="133" priority="1" stopIfTrue="1">
      <formula>$C$59=0</formula>
    </cfRule>
  </conditionalFormatting>
  <conditionalFormatting sqref="J877 J879 J881 H887:I887 H888 I889 I891 G925 F926">
    <cfRule type="expression" dxfId="132" priority="118" stopIfTrue="1">
      <formula>$R$718=1</formula>
    </cfRule>
  </conditionalFormatting>
  <conditionalFormatting sqref="K118:K125 J126:K135">
    <cfRule type="expression" dxfId="131" priority="47" stopIfTrue="1">
      <formula>$Q$2=$M81</formula>
    </cfRule>
    <cfRule type="expression" dxfId="130" priority="48" stopIfTrue="1">
      <formula>$C$39=0</formula>
    </cfRule>
    <cfRule type="expression" dxfId="129" priority="46" stopIfTrue="1">
      <formula>$CC$12&lt;&gt;$C$5</formula>
    </cfRule>
  </conditionalFormatting>
  <conditionalFormatting sqref="K781">
    <cfRule type="expression" dxfId="128" priority="116" stopIfTrue="1">
      <formula>$L$781=0</formula>
    </cfRule>
  </conditionalFormatting>
  <conditionalFormatting sqref="K785">
    <cfRule type="expression" dxfId="127" priority="105" stopIfTrue="1">
      <formula>$S$705=0</formula>
    </cfRule>
  </conditionalFormatting>
  <conditionalFormatting sqref="K786">
    <cfRule type="expression" dxfId="126" priority="106" stopIfTrue="1">
      <formula>#REF!=0</formula>
    </cfRule>
  </conditionalFormatting>
  <conditionalFormatting sqref="K787">
    <cfRule type="expression" dxfId="125" priority="104" stopIfTrue="1">
      <formula>$S$706=0</formula>
    </cfRule>
  </conditionalFormatting>
  <conditionalFormatting sqref="K788">
    <cfRule type="expression" dxfId="124" priority="107" stopIfTrue="1">
      <formula>#REF!=0</formula>
    </cfRule>
  </conditionalFormatting>
  <conditionalFormatting sqref="K789">
    <cfRule type="expression" dxfId="123" priority="89" stopIfTrue="1">
      <formula>$BB$774=0</formula>
    </cfRule>
  </conditionalFormatting>
  <conditionalFormatting sqref="K790">
    <cfRule type="expression" dxfId="122" priority="108" stopIfTrue="1">
      <formula>$BB$775=$S$709</formula>
    </cfRule>
  </conditionalFormatting>
  <conditionalFormatting sqref="K792">
    <cfRule type="expression" dxfId="121" priority="90" stopIfTrue="1">
      <formula>$BB$776=0</formula>
    </cfRule>
  </conditionalFormatting>
  <conditionalFormatting sqref="K793">
    <cfRule type="expression" dxfId="120" priority="109" stopIfTrue="1">
      <formula>$Y$714=0</formula>
    </cfRule>
  </conditionalFormatting>
  <conditionalFormatting sqref="K794">
    <cfRule type="expression" dxfId="119" priority="111" stopIfTrue="1">
      <formula>$BB$778=0</formula>
    </cfRule>
  </conditionalFormatting>
  <conditionalFormatting sqref="K795:K802">
    <cfRule type="expression" dxfId="118" priority="103" stopIfTrue="1">
      <formula>$AW$722=0</formula>
    </cfRule>
  </conditionalFormatting>
  <conditionalFormatting sqref="K803">
    <cfRule type="expression" dxfId="117" priority="113" stopIfTrue="1">
      <formula>$W$719=0</formula>
    </cfRule>
  </conditionalFormatting>
  <conditionalFormatting sqref="K804">
    <cfRule type="expression" dxfId="116" priority="112" stopIfTrue="1">
      <formula>$W$739=0</formula>
    </cfRule>
  </conditionalFormatting>
  <conditionalFormatting sqref="K806">
    <cfRule type="expression" dxfId="115" priority="119" stopIfTrue="1">
      <formula>$BB$783=0</formula>
    </cfRule>
  </conditionalFormatting>
  <conditionalFormatting sqref="L205:L223 I206:J206 I207:I223">
    <cfRule type="expression" dxfId="114" priority="50" stopIfTrue="1">
      <formula>$C$39=0</formula>
    </cfRule>
    <cfRule type="expression" dxfId="113" priority="49" stopIfTrue="1">
      <formula>$Q$2=$M168</formula>
    </cfRule>
  </conditionalFormatting>
  <conditionalFormatting sqref="L777 G956 F957">
    <cfRule type="expression" dxfId="112" priority="128" stopIfTrue="1">
      <formula>$E$110&gt;0</formula>
    </cfRule>
  </conditionalFormatting>
  <conditionalFormatting sqref="M80:N98 M168:M186">
    <cfRule type="expression" dxfId="111" priority="45" stopIfTrue="1">
      <formula>$C$39=0</formula>
    </cfRule>
    <cfRule type="expression" dxfId="110" priority="44" stopIfTrue="1">
      <formula>$Q$2=$M80</formula>
    </cfRule>
  </conditionalFormatting>
  <conditionalFormatting sqref="R779 E901">
    <cfRule type="expression" dxfId="109" priority="132" stopIfTrue="1">
      <formula>$G$906&lt;&gt;0</formula>
    </cfRule>
  </conditionalFormatting>
  <conditionalFormatting sqref="S27:S34">
    <cfRule type="expression" dxfId="108" priority="13" stopIfTrue="1">
      <formula>$C$39=0</formula>
    </cfRule>
    <cfRule type="expression" dxfId="107" priority="11" stopIfTrue="1">
      <formula>$C$9=1</formula>
    </cfRule>
  </conditionalFormatting>
  <conditionalFormatting sqref="S720">
    <cfRule type="expression" dxfId="106" priority="110" stopIfTrue="1">
      <formula>#REF!=0</formula>
    </cfRule>
  </conditionalFormatting>
  <conditionalFormatting sqref="S747">
    <cfRule type="expression" dxfId="105" priority="115" stopIfTrue="1">
      <formula>$T$747=0</formula>
    </cfRule>
  </conditionalFormatting>
  <conditionalFormatting sqref="S757">
    <cfRule type="cellIs" dxfId="104" priority="96" stopIfTrue="1" operator="greaterThan">
      <formula>0</formula>
    </cfRule>
  </conditionalFormatting>
  <conditionalFormatting sqref="S60:AC60 Q61:AC106">
    <cfRule type="expression" dxfId="103" priority="43" stopIfTrue="1">
      <formula>$C$39=0</formula>
    </cfRule>
    <cfRule type="expression" dxfId="102" priority="42" stopIfTrue="1">
      <formula>$Q$2=$M94</formula>
    </cfRule>
  </conditionalFormatting>
  <conditionalFormatting sqref="T720 T747 L785:L790 L792:L806">
    <cfRule type="cellIs" dxfId="101" priority="114" stopIfTrue="1" operator="equal">
      <formula>0</formula>
    </cfRule>
  </conditionalFormatting>
  <conditionalFormatting sqref="T745:W745 C900:D900">
    <cfRule type="expression" dxfId="100" priority="123" stopIfTrue="1">
      <formula>$W$742=$S$735</formula>
    </cfRule>
  </conditionalFormatting>
  <conditionalFormatting sqref="T746:W746 S834:S860 H878 G915">
    <cfRule type="expression" dxfId="99" priority="121" stopIfTrue="1">
      <formula>$V$745&lt;=0</formula>
    </cfRule>
  </conditionalFormatting>
  <conditionalFormatting sqref="V732">
    <cfRule type="expression" dxfId="98" priority="82" stopIfTrue="1">
      <formula>$AF$707=AC754</formula>
    </cfRule>
  </conditionalFormatting>
  <conditionalFormatting sqref="V756:Y756">
    <cfRule type="expression" dxfId="97" priority="99" stopIfTrue="1">
      <formula>#REF!=0</formula>
    </cfRule>
  </conditionalFormatting>
  <conditionalFormatting sqref="Y722:Y725">
    <cfRule type="expression" dxfId="96" priority="97" stopIfTrue="1">
      <formula>AND(#REF!&lt;#REF!,#REF!&lt;#REF!)</formula>
    </cfRule>
  </conditionalFormatting>
  <conditionalFormatting sqref="Y728:Y731">
    <cfRule type="expression" dxfId="95"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4" priority="117" stopIfTrue="1">
      <formula>$R$718=1</formula>
    </cfRule>
  </conditionalFormatting>
  <conditionalFormatting sqref="AO705:AP714">
    <cfRule type="expression" dxfId="93" priority="32" stopIfTrue="1">
      <formula>$I$29=0</formula>
    </cfRule>
    <cfRule type="expression" dxfId="92" priority="31" stopIfTrue="1">
      <formula>$L$776=$AO705</formula>
    </cfRule>
  </conditionalFormatting>
  <conditionalFormatting sqref="BA784">
    <cfRule type="expression" dxfId="91" priority="131" stopIfTrue="1">
      <formula>$BB$784&lt;0</formula>
    </cfRule>
  </conditionalFormatting>
  <conditionalFormatting sqref="BA785">
    <cfRule type="expression" dxfId="90"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6" sqref="C6"/>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4"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2" t="s">
        <v>52</v>
      </c>
      <c r="C1" s="23"/>
      <c r="D1" s="24"/>
      <c r="E1" s="24"/>
      <c r="F1" s="25"/>
      <c r="G1" s="26"/>
      <c r="H1" s="26" t="s">
        <v>53</v>
      </c>
      <c r="I1" s="26"/>
      <c r="J1" s="26"/>
      <c r="K1" s="26"/>
      <c r="L1" s="26"/>
      <c r="M1" s="26"/>
      <c r="N1" s="26"/>
      <c r="O1" s="26"/>
      <c r="P1" s="26">
        <f>N82</f>
        <v>8919.3542674692599</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8" thickTop="1" thickBot="1" x14ac:dyDescent="0.35">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30</v>
      </c>
      <c r="D6" s="36" t="s">
        <v>81</v>
      </c>
      <c r="E6" s="37"/>
      <c r="F6" s="40"/>
      <c r="G6" s="26"/>
      <c r="H6" s="26"/>
      <c r="I6" s="26"/>
      <c r="J6" s="26"/>
      <c r="K6" s="26"/>
      <c r="L6" s="26"/>
      <c r="M6" s="26"/>
      <c r="N6" s="26" t="s">
        <v>82</v>
      </c>
      <c r="O6" s="26" t="s">
        <v>83</v>
      </c>
      <c r="P6" s="26">
        <f>P4*C9</f>
        <v>2967.49</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1</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1</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0.16800000000000001</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25">
      <c r="B11" s="46" t="s">
        <v>32</v>
      </c>
      <c r="C11" s="47">
        <v>0</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25">
      <c r="A13" s="48"/>
      <c r="B13" s="46" t="s">
        <v>5</v>
      </c>
      <c r="C13" s="47">
        <v>0</v>
      </c>
      <c r="D13" s="206" t="s">
        <v>118</v>
      </c>
      <c r="E13" s="207"/>
      <c r="F13" s="26"/>
      <c r="G13" s="26"/>
      <c r="H13" s="26"/>
      <c r="I13" s="26"/>
      <c r="J13" s="26"/>
      <c r="K13" s="26">
        <f>($I$7+$I$8+$I$10+$I$11+$I$9+500)*1.2%*($C$7)*C9</f>
        <v>52.5</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0.16800000000000001</v>
      </c>
      <c r="G14" s="26"/>
      <c r="H14" s="26"/>
      <c r="I14" s="26"/>
      <c r="J14" s="26"/>
      <c r="K14" s="26">
        <f>($I$7+$I$8+$I$10+$I$11+$I$9+500)*1.2%*($C$8)*C9</f>
        <v>6</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f>IF(AND(C19=F18,E25&gt;0),VLOOKUP(C17,CZ12:DA43,2,TRUE)*0.01+E25*0.007+0.006,IF(C19=F18,VLOOKUP(C17,CZ12:DA43,2,TRUE)*0.01,VLOOKUP(C17,CZ12:DB43,3,TRUE)*0.01))</f>
        <v>0.16800000000000001</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83.702039999999997</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30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5">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5">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5">
      <c r="B25" s="57" t="s">
        <v>261</v>
      </c>
      <c r="C25" s="57">
        <v>1</v>
      </c>
      <c r="D25" s="57">
        <v>0</v>
      </c>
      <c r="E25" s="57">
        <v>0</v>
      </c>
      <c r="F25" s="58">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5">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370.72618239809862</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
      <c r="C27" s="60"/>
      <c r="D27" s="60" t="s">
        <v>182</v>
      </c>
      <c r="E27" s="60"/>
      <c r="G27" s="26"/>
      <c r="H27" s="26"/>
      <c r="I27" s="26"/>
      <c r="J27" s="26"/>
      <c r="K27" s="26"/>
      <c r="L27" s="26"/>
      <c r="M27" s="26"/>
      <c r="N27" s="26"/>
      <c r="O27" s="26"/>
      <c r="P27" s="26"/>
      <c r="Q27" s="26"/>
      <c r="R27" s="26">
        <f>SUM(R10:R26)</f>
        <v>8258.5172972512592</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5">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5">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5">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5">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5">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5">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5">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5">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5">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5">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5">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5">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30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5">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5">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5">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5">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5">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5">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5">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5">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5">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5">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5">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5">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5">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5">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5">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5">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5">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5">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5">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5">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5">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5">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5">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5">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5">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5">
      <c r="B70" s="26"/>
      <c r="C70" s="26"/>
      <c r="D70" s="26"/>
      <c r="E70" s="26"/>
      <c r="F70" s="26"/>
      <c r="G70" s="26"/>
      <c r="H70" s="26"/>
      <c r="I70" s="26"/>
      <c r="J70" s="26"/>
      <c r="K70" s="26"/>
      <c r="L70" s="26"/>
      <c r="M70" s="26"/>
      <c r="N70" s="26"/>
      <c r="O70" s="26">
        <v>755</v>
      </c>
      <c r="P70" s="26"/>
      <c r="Q70" s="26"/>
      <c r="R70" s="26" t="s">
        <v>440</v>
      </c>
      <c r="S70" s="26">
        <f>VLOOKUP(S69,S72:S88,1,1)</f>
        <v>12358.204467701114</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5">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5">
      <c r="B72" s="26"/>
      <c r="C72" s="26"/>
      <c r="D72" s="26"/>
      <c r="E72" s="26"/>
      <c r="F72" s="26"/>
      <c r="G72" s="26"/>
      <c r="H72" s="26"/>
      <c r="I72" s="26"/>
      <c r="J72" s="26"/>
      <c r="K72" s="26"/>
      <c r="L72" s="26"/>
      <c r="M72" s="26"/>
      <c r="N72" s="26"/>
      <c r="O72" s="26">
        <v>628</v>
      </c>
      <c r="P72" s="26"/>
      <c r="Q72" s="26"/>
      <c r="R72" s="26">
        <f>IF(OR($C$5=$CB$16,$C$5=$CC$16),S72*1.05,S72)</f>
        <v>8919.3542674692599</v>
      </c>
      <c r="S72" s="26">
        <f>VLOOKUP(INT(W18),ofek4,1+2,FALSE)</f>
        <v>8919.3542674692599</v>
      </c>
      <c r="T72" s="26">
        <f>S72*0.75</f>
        <v>6689.5157006019454</v>
      </c>
      <c r="U72" s="26">
        <f t="shared" ref="U72:U88" si="5">T72*$U$70</f>
        <v>6097.7979340630509</v>
      </c>
      <c r="V72" s="26">
        <f t="shared" ref="V72:V88" si="6">U72*$S$64</f>
        <v>5304.962246676173</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5">
      <c r="B73" s="26"/>
      <c r="C73" s="26"/>
      <c r="D73" s="26"/>
      <c r="E73" s="26"/>
      <c r="F73" s="26"/>
      <c r="G73" s="26"/>
      <c r="H73" s="26"/>
      <c r="I73" s="26"/>
      <c r="J73" s="26"/>
      <c r="K73" s="26"/>
      <c r="L73" s="26"/>
      <c r="M73" s="26"/>
      <c r="N73" s="26"/>
      <c r="O73" s="26">
        <v>543</v>
      </c>
      <c r="P73" s="26"/>
      <c r="Q73" s="26"/>
      <c r="R73" s="26">
        <f>R72*1.0375</f>
        <v>9253.8300524993574</v>
      </c>
      <c r="S73" s="26">
        <f>S72*1.0375</f>
        <v>9253.8300524993574</v>
      </c>
      <c r="T73" s="26">
        <f t="shared" ref="T73:T88" si="7">S73*0.75</f>
        <v>6940.3725393745181</v>
      </c>
      <c r="U73" s="26">
        <f t="shared" si="5"/>
        <v>6326.4653565904146</v>
      </c>
      <c r="V73" s="26">
        <f t="shared" si="6"/>
        <v>5503.8983309265286</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5">
      <c r="B74" s="26"/>
      <c r="C74" s="26"/>
      <c r="D74" s="26"/>
      <c r="E74" s="26"/>
      <c r="F74" s="26"/>
      <c r="G74" s="26"/>
      <c r="H74" s="26"/>
      <c r="I74" s="26" t="s">
        <v>448</v>
      </c>
      <c r="J74" s="26"/>
      <c r="K74" s="26"/>
      <c r="L74" s="26"/>
      <c r="M74" s="26"/>
      <c r="N74" s="26"/>
      <c r="O74" s="26">
        <v>543</v>
      </c>
      <c r="P74" s="26"/>
      <c r="Q74" s="26"/>
      <c r="R74" s="26">
        <f>IF(OR($C$5=$CB$16,$C$5=$CC$16),S74*1.05,S74)</f>
        <v>9588.3058375294531</v>
      </c>
      <c r="S74" s="26">
        <f>VLOOKUP(INT(W18),ofek4,2+2,FALSE)</f>
        <v>9588.3058375294531</v>
      </c>
      <c r="T74" s="26">
        <f t="shared" si="7"/>
        <v>7191.2293781470898</v>
      </c>
      <c r="U74" s="26">
        <f t="shared" si="5"/>
        <v>6555.1327791177782</v>
      </c>
      <c r="V74" s="26">
        <f t="shared" si="6"/>
        <v>5702.8344151768842</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5">
      <c r="B75" s="26"/>
      <c r="C75" s="26"/>
      <c r="D75" s="26"/>
      <c r="E75" s="26"/>
      <c r="F75" s="26"/>
      <c r="G75" s="26"/>
      <c r="H75" s="26"/>
      <c r="I75" s="26">
        <f>C25+D25+E25</f>
        <v>1</v>
      </c>
      <c r="J75" s="26"/>
      <c r="K75" s="26">
        <f>D25*0.1</f>
        <v>0</v>
      </c>
      <c r="L75" s="26">
        <f>E25*1</f>
        <v>0</v>
      </c>
      <c r="M75" s="26"/>
      <c r="N75" s="26"/>
      <c r="O75" s="26">
        <v>543</v>
      </c>
      <c r="P75" s="26"/>
      <c r="Q75" s="26"/>
      <c r="R75" s="26">
        <f>R74*1.0375</f>
        <v>9947.8673064368086</v>
      </c>
      <c r="S75" s="26">
        <f>S74*1.0375</f>
        <v>9947.8673064368086</v>
      </c>
      <c r="T75" s="26">
        <f t="shared" si="7"/>
        <v>7460.9004798276064</v>
      </c>
      <c r="U75" s="26">
        <f t="shared" si="5"/>
        <v>6800.9502583346957</v>
      </c>
      <c r="V75" s="26">
        <f t="shared" si="6"/>
        <v>5916.6907057460185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5">
      <c r="B76" s="26"/>
      <c r="C76" s="26"/>
      <c r="D76" s="26"/>
      <c r="E76" s="26"/>
      <c r="F76" s="26"/>
      <c r="G76" s="26"/>
      <c r="H76" s="26"/>
      <c r="I76" s="26"/>
      <c r="J76" s="26"/>
      <c r="K76" s="26"/>
      <c r="L76" s="26"/>
      <c r="M76" s="26"/>
      <c r="N76" s="26"/>
      <c r="O76" s="26">
        <v>543</v>
      </c>
      <c r="P76" s="26"/>
      <c r="Q76" s="26"/>
      <c r="R76" s="26">
        <f>IF(OR($C$5=$CB$16,$C$5=$CC$16),S76*1.05,S76)</f>
        <v>10307.428775344162</v>
      </c>
      <c r="S76" s="26">
        <f>VLOOKUP(INT(W18),ofek4,3+2,FALSE)</f>
        <v>10307.428775344162</v>
      </c>
      <c r="T76" s="26">
        <f t="shared" si="7"/>
        <v>7730.5715815081221</v>
      </c>
      <c r="U76" s="26">
        <f t="shared" si="5"/>
        <v>7046.7677375516123</v>
      </c>
      <c r="V76" s="26">
        <f t="shared" si="6"/>
        <v>6130.5469963151518</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5">
      <c r="B77" s="26"/>
      <c r="C77" s="26"/>
      <c r="D77" s="26"/>
      <c r="E77" s="26"/>
      <c r="F77" s="26"/>
      <c r="G77" s="26"/>
      <c r="H77" s="26"/>
      <c r="I77" s="26"/>
      <c r="J77" s="26"/>
      <c r="K77" s="26">
        <f>I75+K75+L75</f>
        <v>1</v>
      </c>
      <c r="L77" s="26"/>
      <c r="M77" s="26"/>
      <c r="N77" s="26"/>
      <c r="O77" s="26">
        <v>543</v>
      </c>
      <c r="P77" s="26"/>
      <c r="Q77" s="26"/>
      <c r="R77" s="26">
        <f>R76*1.0375</f>
        <v>10693.95735441957</v>
      </c>
      <c r="S77" s="26">
        <f>S76*1.0375</f>
        <v>10693.95735441957</v>
      </c>
      <c r="T77" s="26">
        <f t="shared" si="7"/>
        <v>8020.4680158146775</v>
      </c>
      <c r="U77" s="26">
        <f t="shared" si="5"/>
        <v>7311.0215277097986</v>
      </c>
      <c r="V77" s="26">
        <f t="shared" si="6"/>
        <v>6360.4425086769706</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5">
      <c r="B78" s="26"/>
      <c r="C78" s="26"/>
      <c r="D78" s="26"/>
      <c r="E78" s="26"/>
      <c r="F78" s="26"/>
      <c r="G78" s="26"/>
      <c r="H78" s="26"/>
      <c r="I78" s="26"/>
      <c r="J78" s="26"/>
      <c r="K78" s="26"/>
      <c r="L78" s="26"/>
      <c r="M78" s="26"/>
      <c r="N78" s="26"/>
      <c r="O78" s="26">
        <v>543</v>
      </c>
      <c r="P78" s="26"/>
      <c r="Q78" s="26"/>
      <c r="R78" s="26">
        <f>IF(OR($C$5=$CB$16,$C$5=$CC$16),S78*1.05,S78)</f>
        <v>11080.485933494974</v>
      </c>
      <c r="S78" s="26">
        <f>VLOOKUP(INT(W18),ofek4,4+2,FALSE)</f>
        <v>11080.485933494974</v>
      </c>
      <c r="T78" s="26">
        <f t="shared" si="7"/>
        <v>8310.3644501212311</v>
      </c>
      <c r="U78" s="26">
        <f t="shared" si="5"/>
        <v>7575.2753178679832</v>
      </c>
      <c r="V78" s="26">
        <f t="shared" si="6"/>
        <v>6590.3380210387877</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5">
      <c r="B79" s="26"/>
      <c r="C79" s="26"/>
      <c r="D79" s="26"/>
      <c r="E79" s="26"/>
      <c r="F79" s="26"/>
      <c r="G79" s="26"/>
      <c r="H79" s="26"/>
      <c r="I79" s="26"/>
      <c r="J79" s="26"/>
      <c r="K79" s="26"/>
      <c r="L79" s="26"/>
      <c r="M79" s="26"/>
      <c r="N79" s="26"/>
      <c r="O79" s="26">
        <v>543</v>
      </c>
      <c r="P79" s="26"/>
      <c r="Q79" s="26"/>
      <c r="R79" s="26">
        <f>R78*1.0375</f>
        <v>11496.004156001036</v>
      </c>
      <c r="S79" s="26">
        <f>S78*1.0375</f>
        <v>11496.004156001036</v>
      </c>
      <c r="T79" s="26">
        <f t="shared" si="7"/>
        <v>8622.0031170007769</v>
      </c>
      <c r="U79" s="26">
        <f t="shared" si="5"/>
        <v>7859.3481422880313</v>
      </c>
      <c r="V79" s="26">
        <f t="shared" si="6"/>
        <v>6837.4756968277416</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5">
      <c r="B80" s="26"/>
      <c r="C80" s="26"/>
      <c r="D80" s="26"/>
      <c r="E80" s="26"/>
      <c r="F80" s="26"/>
      <c r="G80" s="26"/>
      <c r="H80" s="26"/>
      <c r="I80" s="26"/>
      <c r="J80" s="26"/>
      <c r="K80" s="26"/>
      <c r="L80" s="26"/>
      <c r="M80" s="26" t="s">
        <v>453</v>
      </c>
      <c r="N80" s="26"/>
      <c r="O80" s="26">
        <v>543</v>
      </c>
      <c r="P80" s="26"/>
      <c r="Q80" s="26"/>
      <c r="R80" s="26">
        <f>IF(OR($C$5=$CB$16,$C$5=$CC$16),S80*1.05,S80)</f>
        <v>11911.522378507098</v>
      </c>
      <c r="S80" s="26">
        <f>VLOOKUP(INT(W18),ofek4,5+2,FALSE)</f>
        <v>11911.522378507098</v>
      </c>
      <c r="T80" s="26">
        <f t="shared" si="7"/>
        <v>8933.6417838803227</v>
      </c>
      <c r="U80" s="26">
        <f t="shared" si="5"/>
        <v>8143.4209667080804</v>
      </c>
      <c r="V80" s="26">
        <f t="shared" si="6"/>
        <v>7084.6133726166954</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5">
      <c r="B81" s="26"/>
      <c r="C81" s="26"/>
      <c r="D81" s="26"/>
      <c r="E81" s="26"/>
      <c r="F81" s="26"/>
      <c r="G81" s="26"/>
      <c r="H81" s="26"/>
      <c r="I81" s="26"/>
      <c r="J81" s="26"/>
      <c r="K81" s="26"/>
      <c r="L81" s="26"/>
      <c r="M81" s="26" t="s">
        <v>278</v>
      </c>
      <c r="N81" s="26" t="str">
        <f>W18&amp;"  שנות הוראה  "</f>
        <v xml:space="preserve">30  שנות הוראה  </v>
      </c>
      <c r="O81" s="26">
        <v>543</v>
      </c>
      <c r="P81" s="26"/>
      <c r="Q81" s="26"/>
      <c r="R81" s="26">
        <f>R80*1.0375</f>
        <v>12358.204467701114</v>
      </c>
      <c r="S81" s="26">
        <f>S80*1.0375</f>
        <v>12358.204467701114</v>
      </c>
      <c r="T81" s="26">
        <f t="shared" si="7"/>
        <v>9268.6533507758359</v>
      </c>
      <c r="U81" s="26">
        <f t="shared" si="5"/>
        <v>8448.799252959634</v>
      </c>
      <c r="V81" s="26">
        <f t="shared" si="6"/>
        <v>7350.2863740898219</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5">
      <c r="B82" s="26"/>
      <c r="C82" s="26"/>
      <c r="D82" s="26"/>
      <c r="E82" s="26"/>
      <c r="F82" s="26"/>
      <c r="G82" s="26"/>
      <c r="H82" s="26"/>
      <c r="I82" s="26"/>
      <c r="J82" s="26"/>
      <c r="K82" s="26"/>
      <c r="L82" s="26"/>
      <c r="M82" s="26">
        <v>1</v>
      </c>
      <c r="N82" s="26">
        <f t="shared" ref="N82:N98" si="8">IF($C$5=$CB$16,R72*1.05,IF($C$5=$CE$16,T72,IF($C$5=$CF$16,U72,IF(OR($C$5=$CC$16,$C$5=$CD$16),S72,U72*$S$64))))</f>
        <v>8919.3542674692599</v>
      </c>
      <c r="O82" s="26"/>
      <c r="P82" s="26"/>
      <c r="Q82" s="26"/>
      <c r="R82" s="26">
        <f>IF(OR($C$5=$CB$16,$C$5=$CC$16),S82*1.05,S82)</f>
        <v>12804.88655689513</v>
      </c>
      <c r="S82" s="26">
        <f>VLOOKUP(INT(W18),ofek4,6+2,FALSE)</f>
        <v>12804.88655689513</v>
      </c>
      <c r="T82" s="26">
        <f t="shared" si="7"/>
        <v>9603.6649176713472</v>
      </c>
      <c r="U82" s="26">
        <f t="shared" si="5"/>
        <v>8754.1775392111867</v>
      </c>
      <c r="V82" s="26">
        <f t="shared" si="6"/>
        <v>7615.9593755629485</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5">
      <c r="B83" s="26"/>
      <c r="C83" s="26"/>
      <c r="D83" s="26"/>
      <c r="E83" s="26"/>
      <c r="F83" s="26"/>
      <c r="G83" s="26"/>
      <c r="H83" s="26"/>
      <c r="I83" s="26"/>
      <c r="J83" s="26"/>
      <c r="K83" s="26"/>
      <c r="L83" s="26"/>
      <c r="M83" s="26">
        <v>1.5</v>
      </c>
      <c r="N83" s="26">
        <f t="shared" si="8"/>
        <v>9253.8300524993574</v>
      </c>
      <c r="O83" s="26"/>
      <c r="P83" s="26"/>
      <c r="Q83" s="26"/>
      <c r="R83" s="26">
        <f>R82*1.0375</f>
        <v>13285.069802778698</v>
      </c>
      <c r="S83" s="26">
        <f>S82*1.0425</f>
        <v>13349.094235563172</v>
      </c>
      <c r="T83" s="26">
        <f t="shared" si="7"/>
        <v>10011.82067667238</v>
      </c>
      <c r="U83" s="26">
        <f t="shared" si="5"/>
        <v>9126.230084627663</v>
      </c>
      <c r="V83" s="26">
        <f t="shared" si="6"/>
        <v>7939.6376490243738</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5">
      <c r="B84" s="26"/>
      <c r="C84" s="26"/>
      <c r="D84" s="26"/>
      <c r="E84" s="26"/>
      <c r="F84" s="26"/>
      <c r="G84" s="26"/>
      <c r="H84" s="26"/>
      <c r="I84" s="26"/>
      <c r="J84" s="26"/>
      <c r="K84" s="26"/>
      <c r="L84" s="26"/>
      <c r="M84" s="26">
        <v>2</v>
      </c>
      <c r="N84" s="26">
        <f t="shared" si="8"/>
        <v>9588.3058375294531</v>
      </c>
      <c r="O84" s="26"/>
      <c r="P84" s="26"/>
      <c r="Q84" s="26"/>
      <c r="R84" s="26">
        <f>IF(OR($C$5=$CB$16,$C$5=$CC$16),S84*1.05,S84)</f>
        <v>13893.301914231215</v>
      </c>
      <c r="S84" s="26">
        <f>VLOOKUP(INT(W18),ofek4,7+2,FALSE)</f>
        <v>13893.301914231215</v>
      </c>
      <c r="T84" s="26">
        <f>S84*0.75</f>
        <v>10419.976435673412</v>
      </c>
      <c r="U84" s="26">
        <f t="shared" si="5"/>
        <v>9498.2826300441393</v>
      </c>
      <c r="V84" s="26">
        <f t="shared" si="6"/>
        <v>8263.3159224858009</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5">
      <c r="B85" s="26"/>
      <c r="C85" s="26"/>
      <c r="D85" s="26"/>
      <c r="E85" s="26"/>
      <c r="F85" s="26"/>
      <c r="G85" s="26"/>
      <c r="H85" s="26"/>
      <c r="I85" s="26"/>
      <c r="J85" s="26"/>
      <c r="K85" s="26"/>
      <c r="L85" s="26"/>
      <c r="M85" s="26">
        <v>2.5</v>
      </c>
      <c r="N85" s="26">
        <f t="shared" si="8"/>
        <v>9947.8673064368086</v>
      </c>
      <c r="O85" s="26" t="s">
        <v>9</v>
      </c>
      <c r="P85" s="26" t="s">
        <v>12</v>
      </c>
      <c r="Q85" s="26" t="s">
        <v>13</v>
      </c>
      <c r="R85" s="26">
        <f>R84*1.0375</f>
        <v>14414.300736014888</v>
      </c>
      <c r="S85" s="26">
        <f>S84*1.0425</f>
        <v>14483.767245586041</v>
      </c>
      <c r="T85" s="26">
        <f t="shared" si="7"/>
        <v>10862.82543418953</v>
      </c>
      <c r="U85" s="26">
        <f t="shared" si="5"/>
        <v>9901.9596418210131</v>
      </c>
      <c r="V85" s="26">
        <f t="shared" si="6"/>
        <v>8614.5068491914444</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5">
      <c r="B86" s="26"/>
      <c r="C86" s="26"/>
      <c r="D86" s="26"/>
      <c r="E86" s="26"/>
      <c r="F86" s="26"/>
      <c r="G86" s="26"/>
      <c r="H86" s="26"/>
      <c r="I86" s="26"/>
      <c r="J86" s="26"/>
      <c r="K86" s="26"/>
      <c r="L86" s="26"/>
      <c r="M86" s="26">
        <v>3</v>
      </c>
      <c r="N86" s="26">
        <f t="shared" si="8"/>
        <v>10307.428775344162</v>
      </c>
      <c r="O86" s="26">
        <f t="shared" ref="O86:O102" si="9">N120*0.75</f>
        <v>4725.0025781249997</v>
      </c>
      <c r="P86" s="26">
        <f t="shared" ref="P86:P102" si="10">O86*$U$70</f>
        <v>4307.0548375782419</v>
      </c>
      <c r="Q86" s="26">
        <f t="shared" ref="Q86:Q102" si="11">P86*$S$64</f>
        <v>3747.0515675963188</v>
      </c>
      <c r="R86" s="26">
        <f>IF(OR($C$5=$CB$16,$C$5=$CC$16),S86*1.05,S86)</f>
        <v>15074.232576940867</v>
      </c>
      <c r="S86" s="26">
        <f>VLOOKUP(INT(W18),ofek4,8+2,FALSE)</f>
        <v>15074.232576940867</v>
      </c>
      <c r="T86" s="26">
        <f t="shared" si="7"/>
        <v>11305.674432705651</v>
      </c>
      <c r="U86" s="26">
        <f t="shared" si="5"/>
        <v>10305.636653597889</v>
      </c>
      <c r="V86" s="26">
        <f t="shared" si="6"/>
        <v>8965.6977758970916</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5">
      <c r="A87" t="s">
        <v>59</v>
      </c>
      <c r="B87" s="26"/>
      <c r="C87" s="26"/>
      <c r="D87" s="26"/>
      <c r="E87" s="26"/>
      <c r="F87" s="26"/>
      <c r="G87" s="26"/>
      <c r="H87" s="26"/>
      <c r="I87" s="26"/>
      <c r="J87" s="26"/>
      <c r="K87" s="26"/>
      <c r="L87" s="26"/>
      <c r="M87" s="26">
        <v>3.5</v>
      </c>
      <c r="N87" s="26">
        <f t="shared" si="8"/>
        <v>10693.95735441957</v>
      </c>
      <c r="O87" s="26">
        <f t="shared" si="9"/>
        <v>4902.1901748046876</v>
      </c>
      <c r="P87" s="26">
        <f t="shared" si="10"/>
        <v>4468.5693939874263</v>
      </c>
      <c r="Q87" s="26">
        <f t="shared" si="11"/>
        <v>3887.5660013811812</v>
      </c>
      <c r="R87" s="26">
        <f>R86*1.0375</f>
        <v>15639.516298576151</v>
      </c>
      <c r="S87" s="26">
        <f>S86*1.0425</f>
        <v>15714.887461460854</v>
      </c>
      <c r="T87" s="26">
        <f t="shared" si="7"/>
        <v>11786.165596095641</v>
      </c>
      <c r="U87" s="26">
        <f t="shared" si="5"/>
        <v>10743.6262113758</v>
      </c>
      <c r="V87" s="26">
        <f t="shared" si="6"/>
        <v>9346.7399313727183</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5">
      <c r="B88" s="26"/>
      <c r="C88" s="26"/>
      <c r="D88" s="26"/>
      <c r="E88" s="26"/>
      <c r="F88" s="26"/>
      <c r="G88" s="26"/>
      <c r="H88" s="26"/>
      <c r="I88" s="26"/>
      <c r="J88" s="26"/>
      <c r="K88" s="26"/>
      <c r="L88" s="26"/>
      <c r="M88" s="26">
        <v>4</v>
      </c>
      <c r="N88" s="26">
        <f t="shared" si="8"/>
        <v>11080.485933494974</v>
      </c>
      <c r="O88" s="26">
        <f t="shared" si="9"/>
        <v>5079.3777714843745</v>
      </c>
      <c r="P88" s="26">
        <f t="shared" si="10"/>
        <v>4630.0839503966099</v>
      </c>
      <c r="Q88" s="26">
        <f t="shared" si="11"/>
        <v>4028.0804351660427</v>
      </c>
      <c r="R88" s="26">
        <f>IF(OR($C$5=$CB$16,$C$5=$CC$16),S88*1.05,S88)</f>
        <v>16355.542345980841</v>
      </c>
      <c r="S88" s="26">
        <f>VLOOKUP(INT(W18),ofek4,9+2,FALSE)</f>
        <v>16355.542345980841</v>
      </c>
      <c r="T88" s="26">
        <f t="shared" si="7"/>
        <v>12266.656759485631</v>
      </c>
      <c r="U88" s="26">
        <f t="shared" si="5"/>
        <v>11181.61576915371</v>
      </c>
      <c r="V88" s="26">
        <f t="shared" si="6"/>
        <v>9727.782086848345</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5">
      <c r="B89" s="26"/>
      <c r="C89" s="26"/>
      <c r="D89" s="26"/>
      <c r="E89" s="26"/>
      <c r="F89" s="26"/>
      <c r="G89" s="26"/>
      <c r="H89" s="26"/>
      <c r="I89" s="26"/>
      <c r="J89" s="26"/>
      <c r="K89" s="26"/>
      <c r="L89" s="26"/>
      <c r="M89" s="26">
        <v>4.5</v>
      </c>
      <c r="N89" s="26">
        <f t="shared" si="8"/>
        <v>11496.004156001036</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5">
      <c r="B90" s="26"/>
      <c r="C90" s="26"/>
      <c r="D90" s="26"/>
      <c r="E90" s="26"/>
      <c r="F90" s="26"/>
      <c r="G90" s="26"/>
      <c r="H90" s="26"/>
      <c r="I90" s="26"/>
      <c r="J90" s="26"/>
      <c r="K90" s="26"/>
      <c r="L90" s="26"/>
      <c r="M90" s="26">
        <v>5</v>
      </c>
      <c r="N90" s="26">
        <f t="shared" si="8"/>
        <v>11911.522378507098</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5">
      <c r="B91" s="26"/>
      <c r="C91" s="26"/>
      <c r="D91" s="26"/>
      <c r="E91" s="26"/>
      <c r="F91" s="26"/>
      <c r="G91" s="26"/>
      <c r="H91" s="26"/>
      <c r="I91" s="26"/>
      <c r="J91" s="26"/>
      <c r="K91" s="26"/>
      <c r="L91" s="26"/>
      <c r="M91" s="26">
        <v>5.5</v>
      </c>
      <c r="N91" s="26">
        <f t="shared" si="8"/>
        <v>12358.204467701114</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5">
      <c r="B92" s="26"/>
      <c r="C92" s="26"/>
      <c r="D92" s="26"/>
      <c r="E92" s="26"/>
      <c r="F92" s="26"/>
      <c r="G92" s="26"/>
      <c r="H92" s="26"/>
      <c r="I92" s="26"/>
      <c r="J92" s="26"/>
      <c r="K92" s="26"/>
      <c r="L92" s="26"/>
      <c r="M92" s="26">
        <v>6</v>
      </c>
      <c r="N92" s="26">
        <f t="shared" si="8"/>
        <v>12804.88655689513</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5">
      <c r="B93" s="26"/>
      <c r="C93" s="26"/>
      <c r="D93" s="26"/>
      <c r="E93" s="26"/>
      <c r="F93" s="26"/>
      <c r="G93" s="26"/>
      <c r="H93" s="26"/>
      <c r="I93" s="26"/>
      <c r="J93" s="26"/>
      <c r="K93" s="26"/>
      <c r="L93" s="26"/>
      <c r="M93" s="26">
        <v>6.5</v>
      </c>
      <c r="N93" s="26">
        <f t="shared" si="8"/>
        <v>13349.094235563172</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5">
      <c r="B94" s="26"/>
      <c r="C94" s="26"/>
      <c r="D94" s="26"/>
      <c r="E94" s="26"/>
      <c r="F94" s="26"/>
      <c r="G94" s="26"/>
      <c r="H94" s="26"/>
      <c r="I94" s="26"/>
      <c r="J94" s="26"/>
      <c r="K94" s="26"/>
      <c r="L94" s="26"/>
      <c r="M94" s="26">
        <v>7</v>
      </c>
      <c r="N94" s="26">
        <f t="shared" si="8"/>
        <v>13893.301914231215</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5">
      <c r="B95" s="26"/>
      <c r="C95" s="26"/>
      <c r="D95" s="26"/>
      <c r="E95" s="26"/>
      <c r="F95" s="26"/>
      <c r="G95" s="26"/>
      <c r="H95" s="26"/>
      <c r="I95" s="26"/>
      <c r="J95" s="26"/>
      <c r="K95" s="26"/>
      <c r="L95" s="26"/>
      <c r="M95" s="26">
        <v>7.5</v>
      </c>
      <c r="N95" s="26">
        <f t="shared" si="8"/>
        <v>14483.767245586041</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5">
      <c r="B96" s="26"/>
      <c r="C96" s="26"/>
      <c r="D96" s="26"/>
      <c r="E96" s="26"/>
      <c r="F96" s="26"/>
      <c r="G96" s="26"/>
      <c r="H96" s="26"/>
      <c r="I96" s="26"/>
      <c r="J96" s="26"/>
      <c r="K96" s="26"/>
      <c r="L96" s="26"/>
      <c r="M96" s="26">
        <v>8</v>
      </c>
      <c r="N96" s="26">
        <f t="shared" si="8"/>
        <v>15074.232576940867</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5">
      <c r="B97" s="26"/>
      <c r="C97" s="26"/>
      <c r="D97" s="26"/>
      <c r="E97" s="26"/>
      <c r="F97" s="26"/>
      <c r="G97" s="26"/>
      <c r="H97" s="26"/>
      <c r="I97" s="26"/>
      <c r="J97" s="26"/>
      <c r="K97" s="26"/>
      <c r="L97" s="26"/>
      <c r="M97" s="26">
        <v>8.5</v>
      </c>
      <c r="N97" s="26">
        <f t="shared" si="8"/>
        <v>15714.887461460854</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5">
      <c r="B98" s="26"/>
      <c r="C98" s="26"/>
      <c r="D98" s="26"/>
      <c r="E98" s="26"/>
      <c r="F98" s="26"/>
      <c r="G98" s="26"/>
      <c r="H98" s="26"/>
      <c r="I98" s="26"/>
      <c r="J98" s="26"/>
      <c r="K98" s="26"/>
      <c r="L98" s="26"/>
      <c r="M98" s="26">
        <v>9</v>
      </c>
      <c r="N98" s="26">
        <f t="shared" si="8"/>
        <v>16355.542345980841</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5">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5">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5">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5">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5">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5">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5">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5">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5">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5">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5">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5">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5">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5">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5">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5">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5">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5">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5">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5">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5">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5">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5">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5">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5">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5">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5">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5">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5">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5">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5">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5">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5">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5">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5">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5">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5">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5">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5">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5">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5">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5">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5">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5">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5">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5">
      <c r="B144" s="26" t="s">
        <v>487</v>
      </c>
      <c r="C144" s="26">
        <v>0.27</v>
      </c>
      <c r="D144" s="26">
        <v>0.37</v>
      </c>
      <c r="E144" s="26">
        <f>C144+12.5%</f>
        <v>0.39500000000000002</v>
      </c>
      <c r="F144" s="26">
        <f>IF(C14&gt;0,30*C9-3,30*C9)</f>
        <v>30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5">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5">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5">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5">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5">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5">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5">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5">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5">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5">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5">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5">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5">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5">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5">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5">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5">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5">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5">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5">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5">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5">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5">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5">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5">
      <c r="B169" s="26" t="s">
        <v>71</v>
      </c>
      <c r="C169" s="26" t="s">
        <v>509</v>
      </c>
      <c r="D169" s="26"/>
      <c r="E169" s="26"/>
      <c r="F169" s="26"/>
      <c r="G169" s="26">
        <v>8.5</v>
      </c>
      <c r="H169" s="26"/>
      <c r="I169" s="26"/>
      <c r="J169" s="26"/>
      <c r="K169" s="26">
        <v>7</v>
      </c>
      <c r="L169" s="26"/>
      <c r="M169" s="26" t="str">
        <f t="shared" si="14"/>
        <v xml:space="preserve">30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5">
      <c r="B170" s="26"/>
      <c r="C170" s="26" t="s">
        <v>510</v>
      </c>
      <c r="D170" s="26"/>
      <c r="E170" s="26"/>
      <c r="F170" s="26"/>
      <c r="G170" s="26">
        <v>9</v>
      </c>
      <c r="H170" s="26" t="s">
        <v>59</v>
      </c>
      <c r="I170" s="26"/>
      <c r="J170" s="26"/>
      <c r="K170" s="26">
        <v>7.5</v>
      </c>
      <c r="L170" s="26"/>
      <c r="M170" s="26">
        <f t="shared" si="14"/>
        <v>8919.3542674692599</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5">
      <c r="B171" s="26"/>
      <c r="C171" s="26" t="s">
        <v>511</v>
      </c>
      <c r="D171" s="26"/>
      <c r="E171" s="26"/>
      <c r="F171" s="26"/>
      <c r="G171" s="26"/>
      <c r="H171" s="26"/>
      <c r="I171" s="26"/>
      <c r="J171" s="26"/>
      <c r="K171" s="26">
        <v>8</v>
      </c>
      <c r="L171" s="26"/>
      <c r="M171" s="26">
        <f t="shared" si="14"/>
        <v>9253.8300524993574</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5">
      <c r="B172" s="26" t="s">
        <v>512</v>
      </c>
      <c r="C172" s="26">
        <v>0</v>
      </c>
      <c r="D172" s="26"/>
      <c r="E172" s="26"/>
      <c r="F172" s="26"/>
      <c r="G172" s="26"/>
      <c r="H172" s="26"/>
      <c r="I172" s="26"/>
      <c r="J172" s="26"/>
      <c r="K172" s="26">
        <v>8.5</v>
      </c>
      <c r="L172" s="26"/>
      <c r="M172" s="26">
        <f t="shared" si="14"/>
        <v>9588.3058375294531</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5">
      <c r="B173" s="26" t="s">
        <v>59</v>
      </c>
      <c r="C173" s="26"/>
      <c r="D173" s="26"/>
      <c r="E173" s="26"/>
      <c r="F173" s="26" t="s">
        <v>198</v>
      </c>
      <c r="G173" s="26"/>
      <c r="H173" s="26" t="s">
        <v>513</v>
      </c>
      <c r="I173" s="26">
        <f>DATE(YEAR(J4),MONTH(J4)-MONTH(J4)+1,DAY(J4)-DAY(J4)+1)</f>
        <v>1</v>
      </c>
      <c r="J173" s="26"/>
      <c r="K173" s="26">
        <v>9</v>
      </c>
      <c r="L173" s="26"/>
      <c r="M173" s="26">
        <f t="shared" si="14"/>
        <v>9947.8673064368086</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5">
      <c r="B174" s="26"/>
      <c r="C174" s="26"/>
      <c r="D174" s="26"/>
      <c r="E174" s="26"/>
      <c r="F174" s="26"/>
      <c r="G174" s="26"/>
      <c r="H174" s="26"/>
      <c r="I174" s="26"/>
      <c r="J174" s="26"/>
      <c r="K174" s="26"/>
      <c r="L174" s="26"/>
      <c r="M174" s="26">
        <f t="shared" si="14"/>
        <v>10307.428775344162</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5">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10693.95735441957</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5">
      <c r="B176" s="26"/>
      <c r="C176" s="26" t="s">
        <v>515</v>
      </c>
      <c r="D176" s="26"/>
      <c r="E176" s="26"/>
      <c r="F176" s="26"/>
      <c r="G176" s="26"/>
      <c r="H176" s="26"/>
      <c r="I176" s="26"/>
      <c r="J176" s="26"/>
      <c r="K176" s="26"/>
      <c r="L176" s="26"/>
      <c r="M176" s="26">
        <f t="shared" si="14"/>
        <v>11080.485933494974</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5">
      <c r="B177" s="26"/>
      <c r="C177" s="26" t="s">
        <v>516</v>
      </c>
      <c r="D177" s="26" t="s">
        <v>59</v>
      </c>
      <c r="E177" s="26"/>
      <c r="F177" s="26"/>
      <c r="G177" s="26" t="str">
        <f>AB32</f>
        <v>תקציבית</v>
      </c>
      <c r="H177" s="26"/>
      <c r="I177" s="26" t="e">
        <f>F205</f>
        <v>#REF!</v>
      </c>
      <c r="J177" s="26"/>
      <c r="K177" s="26"/>
      <c r="L177" s="26"/>
      <c r="M177" s="26">
        <f t="shared" si="14"/>
        <v>11496.004156001036</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5">
      <c r="B178" s="26"/>
      <c r="C178" s="26" t="s">
        <v>517</v>
      </c>
      <c r="D178" s="26" t="s">
        <v>518</v>
      </c>
      <c r="E178" s="26"/>
      <c r="F178" s="26" t="s">
        <v>519</v>
      </c>
      <c r="G178" s="26">
        <f>67</f>
        <v>67</v>
      </c>
      <c r="H178" s="26"/>
      <c r="I178" s="26"/>
      <c r="J178" s="26"/>
      <c r="K178" s="26"/>
      <c r="L178" s="26"/>
      <c r="M178" s="26">
        <f t="shared" si="14"/>
        <v>11911.522378507098</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5">
      <c r="B179" s="26"/>
      <c r="C179" s="26" t="s">
        <v>477</v>
      </c>
      <c r="D179" s="26" t="s">
        <v>520</v>
      </c>
      <c r="E179" s="26"/>
      <c r="F179" s="26" t="s">
        <v>521</v>
      </c>
      <c r="G179" s="26" t="e">
        <f>#REF!</f>
        <v>#REF!</v>
      </c>
      <c r="H179" s="26"/>
      <c r="I179" s="26" t="s">
        <v>59</v>
      </c>
      <c r="J179" s="26"/>
      <c r="K179" s="26"/>
      <c r="L179" s="26"/>
      <c r="M179" s="26">
        <f t="shared" si="14"/>
        <v>12358.204467701114</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5">
      <c r="B180" s="26"/>
      <c r="C180" s="26" t="s">
        <v>522</v>
      </c>
      <c r="D180" s="26" t="s">
        <v>476</v>
      </c>
      <c r="E180" s="26"/>
      <c r="F180" s="26" t="s">
        <v>523</v>
      </c>
      <c r="G180" s="26">
        <f>G202</f>
        <v>52.87</v>
      </c>
      <c r="H180" s="26"/>
      <c r="I180" s="26" t="s">
        <v>59</v>
      </c>
      <c r="J180" s="26"/>
      <c r="K180" s="26"/>
      <c r="L180" s="26"/>
      <c r="M180" s="26">
        <f t="shared" si="14"/>
        <v>12804.88655689513</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5">
      <c r="B181" s="26"/>
      <c r="C181" s="26" t="s">
        <v>524</v>
      </c>
      <c r="D181" s="26" t="s">
        <v>525</v>
      </c>
      <c r="E181" s="26"/>
      <c r="F181" s="26"/>
      <c r="G181" s="26" t="s">
        <v>526</v>
      </c>
      <c r="H181" s="26"/>
      <c r="I181" s="26"/>
      <c r="J181" s="26"/>
      <c r="K181" s="26"/>
      <c r="L181" s="26"/>
      <c r="M181" s="26">
        <f t="shared" si="14"/>
        <v>13349.094235563172</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5">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13893.301914231215</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5">
      <c r="B183" s="26"/>
      <c r="C183" s="26" t="s">
        <v>529</v>
      </c>
      <c r="D183" s="26" t="s">
        <v>479</v>
      </c>
      <c r="E183" s="26"/>
      <c r="F183" s="26" t="e">
        <f>#REF!/#REF!*F187</f>
        <v>#REF!</v>
      </c>
      <c r="G183" s="26" t="s">
        <v>530</v>
      </c>
      <c r="H183" s="26"/>
      <c r="I183" s="26"/>
      <c r="J183" s="26" t="s">
        <v>59</v>
      </c>
      <c r="K183" s="26"/>
      <c r="L183" s="26"/>
      <c r="M183" s="26">
        <f t="shared" si="14"/>
        <v>14483.767245586041</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5">
      <c r="B184" s="26"/>
      <c r="C184" s="26" t="s">
        <v>531</v>
      </c>
      <c r="D184" s="26"/>
      <c r="E184" s="26"/>
      <c r="F184" s="26" t="e">
        <f>#REF!/#REF!*F187</f>
        <v>#REF!</v>
      </c>
      <c r="G184" s="26" t="s">
        <v>532</v>
      </c>
      <c r="H184" s="26"/>
      <c r="I184" s="26"/>
      <c r="J184" s="26"/>
      <c r="K184" s="26"/>
      <c r="L184" s="26"/>
      <c r="M184" s="26">
        <f t="shared" si="14"/>
        <v>15074.232576940867</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5">
      <c r="B185" s="26"/>
      <c r="C185" s="26"/>
      <c r="D185" s="26" t="s">
        <v>533</v>
      </c>
      <c r="E185" s="26"/>
      <c r="F185" s="26" t="e">
        <f>#REF!/#REF!*F187</f>
        <v>#REF!</v>
      </c>
      <c r="G185" s="26" t="s">
        <v>534</v>
      </c>
      <c r="H185" s="26"/>
      <c r="I185" s="26"/>
      <c r="J185" s="26"/>
      <c r="K185" s="26"/>
      <c r="L185" s="26"/>
      <c r="M185" s="26">
        <f t="shared" si="14"/>
        <v>15714.887461460854</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5">
      <c r="B186" s="26" t="s">
        <v>535</v>
      </c>
      <c r="C186" s="26" t="str">
        <f>C5</f>
        <v>ב"א</v>
      </c>
      <c r="D186" s="26"/>
      <c r="E186" s="26"/>
      <c r="F186" s="26" t="e">
        <f>#REF!/#REF!*F187</f>
        <v>#REF!</v>
      </c>
      <c r="G186" s="26" t="s">
        <v>536</v>
      </c>
      <c r="H186" s="26"/>
      <c r="I186" s="26"/>
      <c r="J186" s="26"/>
      <c r="K186" s="26"/>
      <c r="L186" s="26"/>
      <c r="M186" s="26">
        <f t="shared" si="14"/>
        <v>16355.542345980841</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5">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5">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5">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5">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5">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5">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5">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5">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5">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5">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5">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5">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5">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5">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5">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5">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5">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5">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5">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5">
      <c r="B207" s="26"/>
      <c r="C207" s="26" t="s">
        <v>559</v>
      </c>
      <c r="D207" s="26"/>
      <c r="E207" s="26"/>
      <c r="F207" s="26">
        <v>0</v>
      </c>
      <c r="G207" s="26"/>
      <c r="H207" s="26"/>
      <c r="I207" s="26">
        <f t="shared" ref="I207:I223" si="16">L207</f>
        <v>1</v>
      </c>
      <c r="J207" s="26">
        <f>M170*0.95</f>
        <v>8473.3865540957959</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5">
      <c r="B208" s="26" t="s">
        <v>59</v>
      </c>
      <c r="C208" s="26" t="s">
        <v>560</v>
      </c>
      <c r="D208" s="26"/>
      <c r="E208" s="26"/>
      <c r="F208" s="26">
        <v>0</v>
      </c>
      <c r="G208" s="26"/>
      <c r="H208" s="26"/>
      <c r="I208" s="26">
        <f t="shared" si="16"/>
        <v>1.5</v>
      </c>
      <c r="J208" s="26">
        <f t="shared" ref="J208:J223" si="17">M171*0.95</f>
        <v>8791.1385498743894</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5">
      <c r="B209" s="26"/>
      <c r="C209" s="26"/>
      <c r="D209" s="26"/>
      <c r="E209" s="26"/>
      <c r="F209" s="26">
        <v>0</v>
      </c>
      <c r="G209" s="26"/>
      <c r="H209" s="26"/>
      <c r="I209" s="26">
        <f t="shared" si="16"/>
        <v>2</v>
      </c>
      <c r="J209" s="26">
        <f t="shared" si="17"/>
        <v>9108.8905456529792</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5">
      <c r="B210" s="26"/>
      <c r="C210" s="26"/>
      <c r="D210" s="26"/>
      <c r="E210" s="26"/>
      <c r="F210" s="26">
        <f>BG73</f>
        <v>0</v>
      </c>
      <c r="G210" s="26"/>
      <c r="H210" s="26"/>
      <c r="I210" s="26">
        <f t="shared" si="16"/>
        <v>2.5</v>
      </c>
      <c r="J210" s="26">
        <f t="shared" si="17"/>
        <v>9450.4739411149676</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5">
      <c r="B211" s="26"/>
      <c r="C211" s="26"/>
      <c r="D211" s="26"/>
      <c r="E211" s="26"/>
      <c r="F211" s="26">
        <f>IF(BG65=X6,0,IF(BG65=X7,10%*P96,IF(BG65=X8,20%*P96,IF(BG65=X9,11.5%*P96,6%*P96))))</f>
        <v>0</v>
      </c>
      <c r="G211" s="26" t="s">
        <v>59</v>
      </c>
      <c r="H211" s="26"/>
      <c r="I211" s="26">
        <f t="shared" si="16"/>
        <v>3</v>
      </c>
      <c r="J211" s="26">
        <f t="shared" si="17"/>
        <v>9792.0573365769542</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5">
      <c r="B212" s="26"/>
      <c r="C212" s="26"/>
      <c r="D212" s="26"/>
      <c r="E212" s="26"/>
      <c r="F212" s="26">
        <f>BG66</f>
        <v>0</v>
      </c>
      <c r="G212" s="26"/>
      <c r="H212" s="26"/>
      <c r="I212" s="26">
        <f t="shared" si="16"/>
        <v>3.5</v>
      </c>
      <c r="J212" s="26">
        <f t="shared" si="17"/>
        <v>10159.259486698591</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5">
      <c r="B213" s="26"/>
      <c r="C213" s="26"/>
      <c r="D213" s="26"/>
      <c r="E213" s="26"/>
      <c r="F213" s="26">
        <f>AD11*P96</f>
        <v>0</v>
      </c>
      <c r="G213" s="26"/>
      <c r="H213" s="26"/>
      <c r="I213" s="26">
        <f t="shared" si="16"/>
        <v>4</v>
      </c>
      <c r="J213" s="26">
        <f t="shared" si="17"/>
        <v>10526.461636820224</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5">
      <c r="B214" s="26" t="s">
        <v>545</v>
      </c>
      <c r="C214" s="26"/>
      <c r="D214" s="26"/>
      <c r="E214" s="26"/>
      <c r="F214" s="26" t="e">
        <f>SUM(F205:F208)*BG68</f>
        <v>#REF!</v>
      </c>
      <c r="G214" s="26"/>
      <c r="H214" s="26"/>
      <c r="I214" s="26">
        <f t="shared" si="16"/>
        <v>4.5</v>
      </c>
      <c r="J214" s="26">
        <f t="shared" si="17"/>
        <v>10921.203948200984</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5">
      <c r="B215" s="26"/>
      <c r="C215" s="26"/>
      <c r="D215" s="26"/>
      <c r="E215" s="26"/>
      <c r="F215" s="26" t="e">
        <f>J187*F214</f>
        <v>#REF!</v>
      </c>
      <c r="G215" s="26" t="s">
        <v>59</v>
      </c>
      <c r="H215" s="26"/>
      <c r="I215" s="26">
        <f t="shared" si="16"/>
        <v>5</v>
      </c>
      <c r="J215" s="26">
        <f t="shared" si="17"/>
        <v>11315.946259581742</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5">
      <c r="B216" s="26"/>
      <c r="C216" s="26"/>
      <c r="D216" s="26"/>
      <c r="E216" s="26"/>
      <c r="F216" s="26" t="e">
        <f>J188*F205</f>
        <v>#REF!</v>
      </c>
      <c r="G216" s="26"/>
      <c r="H216" s="26"/>
      <c r="I216" s="26">
        <f t="shared" si="16"/>
        <v>5.5</v>
      </c>
      <c r="J216" s="26">
        <f t="shared" si="17"/>
        <v>11740.294244316057</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5">
      <c r="B217" s="26"/>
      <c r="C217" s="26"/>
      <c r="D217" s="26"/>
      <c r="E217" s="26"/>
      <c r="F217" s="26" t="e">
        <f>SUM(F205:F208)*AB29</f>
        <v>#REF!</v>
      </c>
      <c r="G217" s="26"/>
      <c r="H217" s="26"/>
      <c r="I217" s="26">
        <f t="shared" si="16"/>
        <v>6</v>
      </c>
      <c r="J217" s="26">
        <f t="shared" si="17"/>
        <v>12164.642229050372</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5">
      <c r="B218" s="26"/>
      <c r="C218" s="26"/>
      <c r="D218" s="26"/>
      <c r="E218" s="26"/>
      <c r="F218" s="26" t="e">
        <f>F205*BG72</f>
        <v>#REF!</v>
      </c>
      <c r="G218" s="26"/>
      <c r="H218" s="26"/>
      <c r="I218" s="26">
        <f t="shared" si="16"/>
        <v>6.5</v>
      </c>
      <c r="J218" s="26">
        <f t="shared" si="17"/>
        <v>12681.639523785014</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5">
      <c r="B219" s="26"/>
      <c r="C219" s="26"/>
      <c r="D219" s="26"/>
      <c r="E219" s="26"/>
      <c r="F219" s="26" t="e">
        <f>SUM(F205:F208)*BG64</f>
        <v>#REF!</v>
      </c>
      <c r="G219" s="26"/>
      <c r="H219" s="26"/>
      <c r="I219" s="26">
        <f t="shared" si="16"/>
        <v>7</v>
      </c>
      <c r="J219" s="26">
        <f t="shared" si="17"/>
        <v>13198.636818519653</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5">
      <c r="B220" s="26"/>
      <c r="C220" s="26"/>
      <c r="D220" s="26"/>
      <c r="E220" s="26"/>
      <c r="F220" s="26">
        <v>0</v>
      </c>
      <c r="G220" s="26" t="s">
        <v>561</v>
      </c>
      <c r="H220" s="26"/>
      <c r="I220" s="26">
        <f t="shared" si="16"/>
        <v>7.5</v>
      </c>
      <c r="J220" s="26">
        <f t="shared" si="17"/>
        <v>13759.578883306738</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5">
      <c r="B221" s="26"/>
      <c r="C221" s="26"/>
      <c r="D221" s="26"/>
      <c r="E221" s="26"/>
      <c r="F221" s="26">
        <v>0</v>
      </c>
      <c r="G221" s="26" t="s">
        <v>562</v>
      </c>
      <c r="H221" s="26"/>
      <c r="I221" s="26">
        <f t="shared" si="16"/>
        <v>8</v>
      </c>
      <c r="J221" s="26">
        <f t="shared" si="17"/>
        <v>14320.520948093823</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5">
      <c r="B222" s="26"/>
      <c r="C222" s="26" t="str">
        <f>BF73</f>
        <v>תוספת ערבה</v>
      </c>
      <c r="D222" s="26">
        <f>AB39</f>
        <v>0</v>
      </c>
      <c r="E222" s="26"/>
      <c r="F222" s="26" t="e">
        <f>SUM(F205:F221)</f>
        <v>#REF!</v>
      </c>
      <c r="G222" s="26"/>
      <c r="H222" s="26"/>
      <c r="I222" s="26">
        <f t="shared" si="16"/>
        <v>8.5</v>
      </c>
      <c r="J222" s="26">
        <f t="shared" si="17"/>
        <v>14929.143088387811</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5">
      <c r="B223" s="26"/>
      <c r="C223" s="26"/>
      <c r="D223" s="26"/>
      <c r="E223" s="26"/>
      <c r="F223" s="26"/>
      <c r="G223" s="26"/>
      <c r="H223" s="26"/>
      <c r="I223" s="26">
        <f t="shared" si="16"/>
        <v>9</v>
      </c>
      <c r="J223" s="26">
        <f t="shared" si="17"/>
        <v>15537.765228681797</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5">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5">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5">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5">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5">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5">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5">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5">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5">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5">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5">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5">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5">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5">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5">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5">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5">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5">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5">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5">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5">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5">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5">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5">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5">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5">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5">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5">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5">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5">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5">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5">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5">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5">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5">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5">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5">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5">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5">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5">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5">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5">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5">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5">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5">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5">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5">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5">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5">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5">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5">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5">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5">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5">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5">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5">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5">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5">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5">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5">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5">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5">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5">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5">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5">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5">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5">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5">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5">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5">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5">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5">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5">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5">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5">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5">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5">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5">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5">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5">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5">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5">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5">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5">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5">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5">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5">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5">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5">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5">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5">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5">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5">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5">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5">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5">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5">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5">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5">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5">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5">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5">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5">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5">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5">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5">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5">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5">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5">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5">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5">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5">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5">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5">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5">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5">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5">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5">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5">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5">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5">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5">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5">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5">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5">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5">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5">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5">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5">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5">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5">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5">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5">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5">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5">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5">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5">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5">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5">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5">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5">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5">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5">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5">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5">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5">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5">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5">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5">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5">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5">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5">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5">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5">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5">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5">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5">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5">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5">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5">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5">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5">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5">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5">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5">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5">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5">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5">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5">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5">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5">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5">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5">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5">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5">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5">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5">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5">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5">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5">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5">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5">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5">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5">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5">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5">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5">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5">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5">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5">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5">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5">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5">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5">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5">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5">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5">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5">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5">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5">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5">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5">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5">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5">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5">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5">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5">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5">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5">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5">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5">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5">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5">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5">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5">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5">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5">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5">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5">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5">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5">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5">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5">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5">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5">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5">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5">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5">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5">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5">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5">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5">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5">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5">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5">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5">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5">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5">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5">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5">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5">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5">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5">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5">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5">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5">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5">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5">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5">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5">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5">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5">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5">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5">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5">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5">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5">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5">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5">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5">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5">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5">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5">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5">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5">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5">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5">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5">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5">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5">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5">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5">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5">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5">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5">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5">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5">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5">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5">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5">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5">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5">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5">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5">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5">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5">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5">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5">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5">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5">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5">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5">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5">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5">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5">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5">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5">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5">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5">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5">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5">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5">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5">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5">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5">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5">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5">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5">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5">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5">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5">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5">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5">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5">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5">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5">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5">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5">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5">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5">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5">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5">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5">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5">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5">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5">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5">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5">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5">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5">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5">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5">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5">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5">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5">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5">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5">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5">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5">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5">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5">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5">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5">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5">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5">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5">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5">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5">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5">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5">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5">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5">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5">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5">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5">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5">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5">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5">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5">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5">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5">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5">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5">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5">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5">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5">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5">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5">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5">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5">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5">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5">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5">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5">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5">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5">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5">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5">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5">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5">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5">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5">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5">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5">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5">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5">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5">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5">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5">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5">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5">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5">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5">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5">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5">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5">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5">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5">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5">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5">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5">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5">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5">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5">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5">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5">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5">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5">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5">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5">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5">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5">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5">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5">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5">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5">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5">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5">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5">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5">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5">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5">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5">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5">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5">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5">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5">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5">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5">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5">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5">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5">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5">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5">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5">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5">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5">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5">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5">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5">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5">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5">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5">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5">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5">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5">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5">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5">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5">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5">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5">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5">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5">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5">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5">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5">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5">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5">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5">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5">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5">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5">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5">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5">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5">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5">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5">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5">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5">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5">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5">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5">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5">
      <c r="G710" s="26"/>
      <c r="H710" s="26"/>
      <c r="I710" s="26"/>
      <c r="J710" s="26"/>
      <c r="K710" s="26"/>
      <c r="L710" s="26"/>
      <c r="M710" s="26"/>
      <c r="N710" s="26"/>
      <c r="O710" s="26">
        <f ca="1">ROUND((I775-AL723)/365.25,2)</f>
        <v>67.25</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5">
      <c r="G711" s="26"/>
      <c r="H711" s="26"/>
      <c r="I711" s="26"/>
      <c r="J711" s="26"/>
      <c r="K711" s="26"/>
      <c r="L711" s="26"/>
      <c r="M711" s="26"/>
      <c r="N711" s="26"/>
      <c r="O711" s="26">
        <f ca="1">IF(BB769=CB719,59-O710,60-O710)</f>
        <v>-7.25</v>
      </c>
      <c r="P711" s="26" t="s">
        <v>96</v>
      </c>
      <c r="Q711" s="26">
        <f ca="1">Q710+O711</f>
        <v>-6.89</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5">
      <c r="G712" s="26"/>
      <c r="H712" s="26"/>
      <c r="I712" s="26"/>
      <c r="J712" s="26"/>
      <c r="K712" s="26"/>
      <c r="L712" s="26"/>
      <c r="M712" s="26"/>
      <c r="N712" s="26"/>
      <c r="O712" s="26">
        <f ca="1">IF(AD738+O711&gt;36,36,AD738+O711)</f>
        <v>25.75</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5">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5">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5">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5">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5">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5">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5">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5">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06/2018</v>
      </c>
      <c r="AY720" s="26">
        <f ca="1">YEAR(AQ719+I775)+AR718</f>
        <v>2018</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5">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5">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5">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5">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5">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5">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5">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5">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5">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5">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5">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5">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5">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5">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5">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5">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5">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19</v>
      </c>
      <c r="AB737" s="26"/>
      <c r="AC737" s="26"/>
      <c r="AD737" s="26" t="s">
        <v>280</v>
      </c>
      <c r="AE737" s="26" t="s">
        <v>281</v>
      </c>
      <c r="AF737" s="26" t="s">
        <v>282</v>
      </c>
      <c r="AG737" s="26" t="s">
        <v>283</v>
      </c>
      <c r="AH737" s="26">
        <v>40147</v>
      </c>
      <c r="AI737" s="26"/>
      <c r="AJ737" s="26"/>
      <c r="AK737" s="26"/>
      <c r="AL737" s="26" t="s">
        <v>59</v>
      </c>
      <c r="AM737" s="26">
        <f ca="1">VLOOKUP(AA737,__HAV2,2,TRUE)</f>
        <v>11</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5">
      <c r="G738" s="26"/>
      <c r="H738" s="26"/>
      <c r="I738" s="26"/>
      <c r="J738" s="26"/>
      <c r="K738" s="26"/>
      <c r="L738" s="26"/>
      <c r="M738" s="26" t="s">
        <v>54</v>
      </c>
      <c r="N738" s="26">
        <f ca="1">ROUND((I775-AT720)/365.25,2)</f>
        <v>14.74</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5">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19</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5">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5">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45658</v>
      </c>
      <c r="AK741" s="26">
        <f ca="1">ROUND((AJ741-AL732)/365.25,2)</f>
        <v>46.34</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5">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-13</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5">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5">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-2.1666666666666664E-2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5">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5">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-1.0833333333333333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5">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5">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-14</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5">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5">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5">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5">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5">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5">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5">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5">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5">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5">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5">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5">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5">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5">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5">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5">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5">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5">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5">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5">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5">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5">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5">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5">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5">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5">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5">
      <c r="G775" s="26"/>
      <c r="H775" s="26" t="s">
        <v>575</v>
      </c>
      <c r="I775" s="26">
        <f ca="1">TODAY()</f>
        <v>45826</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5">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5">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5">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5">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5">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5">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5">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5">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5">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5">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5">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5">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5">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5">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5">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5">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5">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5">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5">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5">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5">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5">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5">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5">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5">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5">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5">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5">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5">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5">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5">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5">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5">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5">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5">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5">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5">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5">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5">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5">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5">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5">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5">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5">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5">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5">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5">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5">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5">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5">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5">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5">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5">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5">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5">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5">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5">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5">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5">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5">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5">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5">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5">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5">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5">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5">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5">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5">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5">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5">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5">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5">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5">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5">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5">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5">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5">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5">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5">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5">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5">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5">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5">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5">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5">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5">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5">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5">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5">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5">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5">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5">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5">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5">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5">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5">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5">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5">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5">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5">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5">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5">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5">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5">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5">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5">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5">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5">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5">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5">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5">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5">
      <c r="G887" s="26"/>
      <c r="H887" s="26"/>
      <c r="I887" s="26"/>
      <c r="J887" s="26"/>
      <c r="K887" s="26">
        <f ca="1">(F927-O710)*2.4%</f>
        <v>-0.34512000000000009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5">
      <c r="G888" s="26"/>
      <c r="H888" s="26">
        <f ca="1">DATE(YEAR(I775),MONTH(I775)-MONTH(I775)+1,DAY(I775)-DAY(I775)+1)</f>
        <v>45658</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5">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5">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5">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5">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5">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5">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5">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5">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4" thickBot="1" x14ac:dyDescent="0.3">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4"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2" thickBot="1" x14ac:dyDescent="0.35">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2" thickBot="1" x14ac:dyDescent="0.35">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2"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5">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4" thickBot="1" x14ac:dyDescent="0.3">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4" thickTop="1" x14ac:dyDescent="0.25">
      <c r="B906" s="83" t="e">
        <f>#REF!</f>
        <v>#REF!</v>
      </c>
      <c r="C906" s="84" t="s">
        <v>543</v>
      </c>
      <c r="D906" s="85" t="s">
        <v>59</v>
      </c>
      <c r="E906" s="86" t="e">
        <f>#REF!/#REF!*E911</f>
        <v>#REF!</v>
      </c>
      <c r="F906" s="87" t="s">
        <v>526</v>
      </c>
      <c r="G906" s="26">
        <f ca="1">IF(ABS(BB771-AK741+AT739)&lt;0.26,0,BB771-AK741+AT739)</f>
        <v>-13.340000000000003</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4" thickBot="1" x14ac:dyDescent="0.3">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8" thickTop="1" thickBot="1" x14ac:dyDescent="0.35">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8" thickTop="1" thickBot="1" x14ac:dyDescent="0.35">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8.600000000000001" thickTop="1" thickBot="1" x14ac:dyDescent="0.3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4"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4"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4" thickBot="1" x14ac:dyDescent="0.3">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4" thickTop="1" x14ac:dyDescent="0.25">
      <c r="B919" s="76"/>
      <c r="C919" s="130" t="s">
        <v>559</v>
      </c>
      <c r="D919" s="107"/>
      <c r="E919" s="131"/>
      <c r="G919" s="26">
        <f ca="1">N738</f>
        <v>14.74</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6" x14ac:dyDescent="0.3">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5">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5">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5">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5">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5">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2" thickBot="1" x14ac:dyDescent="0.35">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8.600000000000001" thickTop="1" thickBot="1" x14ac:dyDescent="0.3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4" thickTop="1" x14ac:dyDescent="0.25">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5">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5">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5">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5">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5">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5">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5">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5">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5">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5">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5">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5">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5">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4" thickBot="1" x14ac:dyDescent="0.3">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8.600000000000001" thickTop="1" thickBot="1" x14ac:dyDescent="0.3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8" thickTop="1" thickBot="1" x14ac:dyDescent="0.35">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4" thickTop="1" x14ac:dyDescent="0.25">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4" thickBot="1" x14ac:dyDescent="0.3">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4" thickTop="1" x14ac:dyDescent="0.25">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5">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5">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5">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5">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5">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5">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4" thickBot="1" x14ac:dyDescent="0.3">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4" thickTop="1" x14ac:dyDescent="0.25">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5">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5">
      <c r="B964" s="63"/>
      <c r="D964" s="163" t="s">
        <v>94</v>
      </c>
      <c r="E964" s="164">
        <f>IF(G946&lt;26,'[1]נתוני מס'!I18*AX737,'[1]נתוני מס'!I19*AX737)</f>
        <v>2014</v>
      </c>
      <c r="F964" s="165">
        <f>E964*G960</f>
        <v>1202.5593999999999</v>
      </c>
      <c r="G964" s="26">
        <f ca="1">E965/12*G911</f>
        <v>216.19995833333331</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4" thickBot="1" x14ac:dyDescent="0.3">
      <c r="B965" s="63"/>
      <c r="D965" s="166" t="s">
        <v>102</v>
      </c>
      <c r="E965" s="167">
        <f ca="1">AM722*AM737*AX737</f>
        <v>4345</v>
      </c>
      <c r="F965" s="168">
        <f ca="1">G960*E965</f>
        <v>2594.3995</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4" thickTop="1" x14ac:dyDescent="0.25">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5">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5">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5">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5">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5">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 thickBot="1" x14ac:dyDescent="0.3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4" thickTop="1" x14ac:dyDescent="0.25">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6" x14ac:dyDescent="0.3">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5">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5">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5">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5">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5">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5">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5">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B2">
    <cfRule type="expression" dxfId="89" priority="37" stopIfTrue="1">
      <formula>$AB$17=AE44</formula>
    </cfRule>
  </conditionalFormatting>
  <conditionalFormatting sqref="B905 E905">
    <cfRule type="expression" dxfId="88" priority="41" stopIfTrue="1">
      <formula>$AF$707=Z754</formula>
    </cfRule>
  </conditionalFormatting>
  <conditionalFormatting sqref="B35:C35">
    <cfRule type="expression" dxfId="87" priority="10" stopIfTrue="1">
      <formula>$C$19=$F$18</formula>
    </cfRule>
  </conditionalFormatting>
  <conditionalFormatting sqref="B906:E906 B910:E910">
    <cfRule type="expression" dxfId="86" priority="86" stopIfTrue="1">
      <formula>$W$742=$S$735</formula>
    </cfRule>
  </conditionalFormatting>
  <conditionalFormatting sqref="B912:E913">
    <cfRule type="expression" dxfId="85" priority="85" stopIfTrue="1">
      <formula>$E$913=0</formula>
    </cfRule>
  </conditionalFormatting>
  <conditionalFormatting sqref="B27:F33">
    <cfRule type="expression" dxfId="84" priority="14" stopIfTrue="1">
      <formula>$C$19=$F$18</formula>
    </cfRule>
  </conditionalFormatting>
  <conditionalFormatting sqref="B917:F918">
    <cfRule type="expression" dxfId="83" priority="47" stopIfTrue="1">
      <formula>#REF!=0</formula>
    </cfRule>
  </conditionalFormatting>
  <conditionalFormatting sqref="C905">
    <cfRule type="expression" dxfId="82" priority="43" stopIfTrue="1">
      <formula>$AF$707=AC754</formula>
    </cfRule>
  </conditionalFormatting>
  <conditionalFormatting sqref="C24:E24 C28:E28">
    <cfRule type="expression" dxfId="81" priority="6" stopIfTrue="1">
      <formula>$C$10="חטיבת ביניים"</formula>
    </cfRule>
    <cfRule type="expression" dxfId="80" priority="7" stopIfTrue="1">
      <formula>$C$10="ז-ח"</formula>
    </cfRule>
    <cfRule type="expression" dxfId="79" priority="8" stopIfTrue="1">
      <formula>$C$10="א-ו"</formula>
    </cfRule>
  </conditionalFormatting>
  <conditionalFormatting sqref="C919:E920">
    <cfRule type="expression" dxfId="78" priority="49" stopIfTrue="1">
      <formula>$E$913=0</formula>
    </cfRule>
  </conditionalFormatting>
  <conditionalFormatting sqref="C24:F24 C23:E23 B25:F26">
    <cfRule type="expression" dxfId="77" priority="15" stopIfTrue="1">
      <formula>$C$19=$F$19</formula>
    </cfRule>
  </conditionalFormatting>
  <conditionalFormatting sqref="C915:F916">
    <cfRule type="expression" dxfId="76" priority="83" stopIfTrue="1">
      <formula>$F$915=0</formula>
    </cfRule>
  </conditionalFormatting>
  <conditionalFormatting sqref="D905">
    <cfRule type="expression" dxfId="75" priority="42" stopIfTrue="1">
      <formula>$AF$707=AC754</formula>
    </cfRule>
  </conditionalFormatting>
  <conditionalFormatting sqref="E930:E945">
    <cfRule type="cellIs" dxfId="74" priority="90" stopIfTrue="1" operator="equal">
      <formula>0</formula>
    </cfRule>
  </conditionalFormatting>
  <conditionalFormatting sqref="E968:E969">
    <cfRule type="expression" dxfId="73" priority="88" stopIfTrue="1">
      <formula>$E$969&lt;0</formula>
    </cfRule>
  </conditionalFormatting>
  <conditionalFormatting sqref="E972:E974 D974">
    <cfRule type="expression" dxfId="72" priority="87" stopIfTrue="1">
      <formula>$E$974&lt;=0</formula>
    </cfRule>
  </conditionalFormatting>
  <conditionalFormatting sqref="E903:F903 F958:F959">
    <cfRule type="expression" dxfId="71" priority="46" stopIfTrue="1">
      <formula>$F$905&gt;67</formula>
    </cfRule>
  </conditionalFormatting>
  <conditionalFormatting sqref="E904:F904">
    <cfRule type="expression" dxfId="70" priority="56" stopIfTrue="1">
      <formula>$F$904&lt;64</formula>
    </cfRule>
  </conditionalFormatting>
  <conditionalFormatting sqref="F24">
    <cfRule type="expression" dxfId="69" priority="19" stopIfTrue="1">
      <formula>$C$39=0</formula>
    </cfRule>
  </conditionalFormatting>
  <conditionalFormatting sqref="F28">
    <cfRule type="expression" dxfId="68" priority="18" stopIfTrue="1">
      <formula>$C$39=0</formula>
    </cfRule>
  </conditionalFormatting>
  <conditionalFormatting sqref="F30">
    <cfRule type="expression" dxfId="67" priority="17" stopIfTrue="1">
      <formula>$C$39=0</formula>
    </cfRule>
  </conditionalFormatting>
  <conditionalFormatting sqref="F33">
    <cfRule type="expression" dxfId="66" priority="16" stopIfTrue="1">
      <formula>$C$39=0</formula>
    </cfRule>
  </conditionalFormatting>
  <conditionalFormatting sqref="F905">
    <cfRule type="expression" dxfId="65" priority="39" stopIfTrue="1">
      <formula>$AF$707=AC754</formula>
    </cfRule>
  </conditionalFormatting>
  <conditionalFormatting sqref="F907">
    <cfRule type="expression" dxfId="64" priority="62" stopIfTrue="1">
      <formula>$BB$786=0</formula>
    </cfRule>
  </conditionalFormatting>
  <conditionalFormatting sqref="G901 E902:F902">
    <cfRule type="expression" dxfId="63" priority="53" stopIfTrue="1">
      <formula>$W$742=$S$735</formula>
    </cfRule>
  </conditionalFormatting>
  <conditionalFormatting sqref="G904">
    <cfRule type="expression" dxfId="62" priority="40" stopIfTrue="1">
      <formula>$AF$707=AC754</formula>
    </cfRule>
  </conditionalFormatting>
  <conditionalFormatting sqref="G906">
    <cfRule type="expression" dxfId="61" priority="61" stopIfTrue="1">
      <formula>$G$906=0</formula>
    </cfRule>
  </conditionalFormatting>
  <conditionalFormatting sqref="G909 F910">
    <cfRule type="expression" dxfId="60" priority="52" stopIfTrue="1">
      <formula>$W$742=$S$735</formula>
    </cfRule>
  </conditionalFormatting>
  <conditionalFormatting sqref="G911 F912">
    <cfRule type="expression" dxfId="59" priority="54" stopIfTrue="1">
      <formula>$W$742=$S$735</formula>
    </cfRule>
  </conditionalFormatting>
  <conditionalFormatting sqref="G25:H25">
    <cfRule type="expression" dxfId="58" priority="5" stopIfTrue="1">
      <formula>$C$39=0</formula>
    </cfRule>
  </conditionalFormatting>
  <conditionalFormatting sqref="H21:H22 H23:I23 H24 H26:H30 I26:I32 I34">
    <cfRule type="expression" dxfId="57" priority="31" stopIfTrue="1">
      <formula>$C$39=0</formula>
    </cfRule>
  </conditionalFormatting>
  <conditionalFormatting sqref="H778">
    <cfRule type="expression" dxfId="56" priority="34" stopIfTrue="1">
      <formula>$C$59=1</formula>
    </cfRule>
    <cfRule type="expression" dxfId="55" priority="35" stopIfTrue="1">
      <formula>$C$59=0</formula>
    </cfRule>
  </conditionalFormatting>
  <conditionalFormatting sqref="H779:H791 Z810:Z827 I29:I31 N754 H797 X810:Y820 X821:X823 X824:Y825 X826:X827">
    <cfRule type="expression" dxfId="54" priority="45" stopIfTrue="1">
      <formula>$C$59=0</formula>
    </cfRule>
  </conditionalFormatting>
  <conditionalFormatting sqref="H779:H796 Z810:Z827">
    <cfRule type="expression" dxfId="53" priority="36" stopIfTrue="1">
      <formula>$C$54=1</formula>
    </cfRule>
  </conditionalFormatting>
  <conditionalFormatting sqref="H792:H796">
    <cfRule type="expression" dxfId="52" priority="33" stopIfTrue="1">
      <formula>$C$58=0</formula>
    </cfRule>
  </conditionalFormatting>
  <conditionalFormatting sqref="H867">
    <cfRule type="expression" dxfId="51" priority="38" stopIfTrue="1">
      <formula>$AF$707=AC754</formula>
    </cfRule>
  </conditionalFormatting>
  <conditionalFormatting sqref="H868:H870 G905 F906">
    <cfRule type="expression" dxfId="50" priority="63" stopIfTrue="1">
      <formula>$V$745&gt;0</formula>
    </cfRule>
  </conditionalFormatting>
  <conditionalFormatting sqref="H871">
    <cfRule type="expression" dxfId="49" priority="30" stopIfTrue="1">
      <formula>ROUND($H$871,2)=ROUND($G$908,2)</formula>
    </cfRule>
  </conditionalFormatting>
  <conditionalFormatting sqref="H873 G910 F911">
    <cfRule type="expression" dxfId="48" priority="32" stopIfTrue="1">
      <formula>$E$110&lt;&gt;0</formula>
    </cfRule>
  </conditionalFormatting>
  <conditionalFormatting sqref="H876 G913 F914">
    <cfRule type="expression" dxfId="47" priority="55" stopIfTrue="1">
      <formula>$W$742=$S$735</formula>
    </cfRule>
  </conditionalFormatting>
  <conditionalFormatting sqref="H879 G916 H924:H925">
    <cfRule type="expression" dxfId="46" priority="81" stopIfTrue="1">
      <formula>$Z$717&lt;100%</formula>
    </cfRule>
  </conditionalFormatting>
  <conditionalFormatting sqref="J21:J28 J30">
    <cfRule type="expression" dxfId="45" priority="2" stopIfTrue="1">
      <formula>$C$9=1</formula>
    </cfRule>
  </conditionalFormatting>
  <conditionalFormatting sqref="J21:J32">
    <cfRule type="expression" dxfId="44" priority="3" stopIfTrue="1">
      <formula>$C$39=0</formula>
    </cfRule>
  </conditionalFormatting>
  <conditionalFormatting sqref="J29">
    <cfRule type="expression" dxfId="43" priority="1" stopIfTrue="1">
      <formula>$C$59=0</formula>
    </cfRule>
  </conditionalFormatting>
  <conditionalFormatting sqref="J877 J879 J881 H887:I887 H888 I889 I891 G925 F926">
    <cfRule type="expression" dxfId="42" priority="79" stopIfTrue="1">
      <formula>$R$718=1</formula>
    </cfRule>
  </conditionalFormatting>
  <conditionalFormatting sqref="K118:K125 J126:K135">
    <cfRule type="expression" dxfId="41" priority="27" stopIfTrue="1">
      <formula>$C$39=0</formula>
    </cfRule>
    <cfRule type="expression" dxfId="40" priority="26" stopIfTrue="1">
      <formula>$Q$2=$M81</formula>
    </cfRule>
    <cfRule type="expression" dxfId="39" priority="25" stopIfTrue="1">
      <formula>$CC$12&lt;&gt;$C$5</formula>
    </cfRule>
  </conditionalFormatting>
  <conditionalFormatting sqref="K781">
    <cfRule type="expression" dxfId="38" priority="77" stopIfTrue="1">
      <formula>$L$781=0</formula>
    </cfRule>
  </conditionalFormatting>
  <conditionalFormatting sqref="K785">
    <cfRule type="expression" dxfId="37" priority="66" stopIfTrue="1">
      <formula>$S$705=0</formula>
    </cfRule>
  </conditionalFormatting>
  <conditionalFormatting sqref="K786">
    <cfRule type="expression" dxfId="36" priority="67" stopIfTrue="1">
      <formula>#REF!=0</formula>
    </cfRule>
  </conditionalFormatting>
  <conditionalFormatting sqref="K787">
    <cfRule type="expression" dxfId="35" priority="65" stopIfTrue="1">
      <formula>$S$706=0</formula>
    </cfRule>
  </conditionalFormatting>
  <conditionalFormatting sqref="K788">
    <cfRule type="expression" dxfId="34" priority="68" stopIfTrue="1">
      <formula>#REF!=0</formula>
    </cfRule>
  </conditionalFormatting>
  <conditionalFormatting sqref="K789">
    <cfRule type="expression" dxfId="33" priority="50" stopIfTrue="1">
      <formula>$BB$774=0</formula>
    </cfRule>
  </conditionalFormatting>
  <conditionalFormatting sqref="K790">
    <cfRule type="expression" dxfId="32" priority="69" stopIfTrue="1">
      <formula>$BB$775=$S$709</formula>
    </cfRule>
  </conditionalFormatting>
  <conditionalFormatting sqref="K792">
    <cfRule type="expression" dxfId="31" priority="51" stopIfTrue="1">
      <formula>$BB$776=0</formula>
    </cfRule>
  </conditionalFormatting>
  <conditionalFormatting sqref="K793">
    <cfRule type="expression" dxfId="30" priority="70" stopIfTrue="1">
      <formula>$Y$714=0</formula>
    </cfRule>
  </conditionalFormatting>
  <conditionalFormatting sqref="K794">
    <cfRule type="expression" dxfId="29" priority="72" stopIfTrue="1">
      <formula>$BB$778=0</formula>
    </cfRule>
  </conditionalFormatting>
  <conditionalFormatting sqref="K795:K802">
    <cfRule type="expression" dxfId="28" priority="64" stopIfTrue="1">
      <formula>$AW$722=0</formula>
    </cfRule>
  </conditionalFormatting>
  <conditionalFormatting sqref="K803">
    <cfRule type="expression" dxfId="27" priority="74" stopIfTrue="1">
      <formula>$W$719=0</formula>
    </cfRule>
  </conditionalFormatting>
  <conditionalFormatting sqref="K804">
    <cfRule type="expression" dxfId="26" priority="73" stopIfTrue="1">
      <formula>$W$739=0</formula>
    </cfRule>
  </conditionalFormatting>
  <conditionalFormatting sqref="K806">
    <cfRule type="expression" dxfId="25" priority="80" stopIfTrue="1">
      <formula>$BB$783=0</formula>
    </cfRule>
  </conditionalFormatting>
  <conditionalFormatting sqref="L205:L223 I206:J206 I207:I223">
    <cfRule type="expression" dxfId="24" priority="29" stopIfTrue="1">
      <formula>$C$39=0</formula>
    </cfRule>
    <cfRule type="expression" dxfId="23" priority="28" stopIfTrue="1">
      <formula>$Q$2=$M168</formula>
    </cfRule>
  </conditionalFormatting>
  <conditionalFormatting sqref="L777 G956 F957">
    <cfRule type="expression" dxfId="22" priority="89" stopIfTrue="1">
      <formula>$E$110&gt;0</formula>
    </cfRule>
  </conditionalFormatting>
  <conditionalFormatting sqref="M80:N98 M168:M186">
    <cfRule type="expression" dxfId="21" priority="24" stopIfTrue="1">
      <formula>$C$39=0</formula>
    </cfRule>
    <cfRule type="expression" dxfId="20" priority="23" stopIfTrue="1">
      <formula>$Q$2=$M80</formula>
    </cfRule>
  </conditionalFormatting>
  <conditionalFormatting sqref="R779 E901">
    <cfRule type="expression" dxfId="19" priority="93" stopIfTrue="1">
      <formula>$G$906&lt;&gt;0</formula>
    </cfRule>
  </conditionalFormatting>
  <conditionalFormatting sqref="S27:S34">
    <cfRule type="expression" dxfId="18" priority="11" stopIfTrue="1">
      <formula>$C$39=0</formula>
    </cfRule>
    <cfRule type="expression" dxfId="17" priority="9" stopIfTrue="1">
      <formula>$C$9=1</formula>
    </cfRule>
  </conditionalFormatting>
  <conditionalFormatting sqref="S720">
    <cfRule type="expression" dxfId="16" priority="71" stopIfTrue="1">
      <formula>#REF!=0</formula>
    </cfRule>
  </conditionalFormatting>
  <conditionalFormatting sqref="S747">
    <cfRule type="expression" dxfId="15" priority="76" stopIfTrue="1">
      <formula>$T$747=0</formula>
    </cfRule>
  </conditionalFormatting>
  <conditionalFormatting sqref="S757">
    <cfRule type="cellIs" dxfId="14" priority="57" stopIfTrue="1" operator="greaterThan">
      <formula>0</formula>
    </cfRule>
  </conditionalFormatting>
  <conditionalFormatting sqref="S60:AC60 Q61:AC106">
    <cfRule type="expression" dxfId="13" priority="22" stopIfTrue="1">
      <formula>$C$39=0</formula>
    </cfRule>
    <cfRule type="expression" dxfId="12" priority="21" stopIfTrue="1">
      <formula>$Q$2=$M94</formula>
    </cfRule>
  </conditionalFormatting>
  <conditionalFormatting sqref="T720 T747 L785:L790 L792:L806">
    <cfRule type="cellIs" dxfId="11" priority="75" stopIfTrue="1" operator="equal">
      <formula>0</formula>
    </cfRule>
  </conditionalFormatting>
  <conditionalFormatting sqref="T745:W745 C900:D900">
    <cfRule type="expression" dxfId="10" priority="84" stopIfTrue="1">
      <formula>$W$742=$S$735</formula>
    </cfRule>
  </conditionalFormatting>
  <conditionalFormatting sqref="T746:W746 S834:S860 H878 G915">
    <cfRule type="expression" dxfId="9" priority="82" stopIfTrue="1">
      <formula>$V$745&lt;=0</formula>
    </cfRule>
  </conditionalFormatting>
  <conditionalFormatting sqref="V732">
    <cfRule type="expression" dxfId="8" priority="44" stopIfTrue="1">
      <formula>$AF$707=AC754</formula>
    </cfRule>
  </conditionalFormatting>
  <conditionalFormatting sqref="V756:Y756">
    <cfRule type="expression" dxfId="7" priority="60" stopIfTrue="1">
      <formula>#REF!=0</formula>
    </cfRule>
  </conditionalFormatting>
  <conditionalFormatting sqref="Y722:Y725">
    <cfRule type="expression" dxfId="6" priority="58" stopIfTrue="1">
      <formula>AND(#REF!&lt;#REF!,#REF!&lt;#REF!)</formula>
    </cfRule>
  </conditionalFormatting>
  <conditionalFormatting sqref="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א ב</cp:lastModifiedBy>
  <cp:lastPrinted>2023-09-05T13:48:47Z</cp:lastPrinted>
  <dcterms:created xsi:type="dcterms:W3CDTF">2023-09-05T11:53:22Z</dcterms:created>
  <dcterms:modified xsi:type="dcterms:W3CDTF">2025-06-18T20:05:55Z</dcterms:modified>
</cp:coreProperties>
</file>