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D:\Users\User\Downloads\"/>
    </mc:Choice>
  </mc:AlternateContent>
  <xr:revisionPtr revIDLastSave="0" documentId="13_ncr:1_{37FB979A-D64F-46FC-AC90-5EFA485D996E}" xr6:coauthVersionLast="47" xr6:coauthVersionMax="47" xr10:uidLastSave="{00000000-0000-0000-0000-000000000000}"/>
  <bookViews>
    <workbookView xWindow="-120" yWindow="-120" windowWidth="20730" windowHeight="11160" activeTab="2" xr2:uid="{9A1BBD5A-1537-486D-BE96-78B684916EAD}"/>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C26" i="4" l="1"/>
  <c r="F15" i="3"/>
  <c r="C950" i="3"/>
  <c r="G944" i="3"/>
  <c r="D943" i="3"/>
  <c r="D942" i="3"/>
  <c r="C942" i="3"/>
  <c r="D941" i="3"/>
  <c r="C941" i="3"/>
  <c r="D938" i="3"/>
  <c r="C938" i="3"/>
  <c r="D937" i="3"/>
  <c r="E936" i="3"/>
  <c r="D936" i="3"/>
  <c r="E935" i="3"/>
  <c r="E934" i="3"/>
  <c r="D934" i="3"/>
  <c r="C934" i="3"/>
  <c r="F929" i="3"/>
  <c r="F928" i="3"/>
  <c r="E928" i="3"/>
  <c r="C951" i="3" s="1"/>
  <c r="F927" i="3"/>
  <c r="E917" i="3"/>
  <c r="F915" i="3"/>
  <c r="D914" i="3"/>
  <c r="B914" i="3"/>
  <c r="E913" i="3"/>
  <c r="C913" i="3"/>
  <c r="E912" i="3"/>
  <c r="G911" i="3"/>
  <c r="E911" i="3"/>
  <c r="G910" i="3"/>
  <c r="E910" i="3"/>
  <c r="D910" i="3"/>
  <c r="B910" i="3"/>
  <c r="G909" i="3"/>
  <c r="E909" i="3"/>
  <c r="D909" i="3"/>
  <c r="B909" i="3"/>
  <c r="G908" i="3"/>
  <c r="E908" i="3"/>
  <c r="D908" i="3"/>
  <c r="B908" i="3"/>
  <c r="G907" i="3"/>
  <c r="E907" i="3"/>
  <c r="B907" i="3"/>
  <c r="E906" i="3"/>
  <c r="B906" i="3"/>
  <c r="B911" i="3" s="1"/>
  <c r="G905" i="3"/>
  <c r="F905" i="3"/>
  <c r="G970" i="3" s="1"/>
  <c r="F904" i="3"/>
  <c r="F903" i="3"/>
  <c r="F902" i="3"/>
  <c r="C898" i="3"/>
  <c r="I890" i="3"/>
  <c r="H882" i="3"/>
  <c r="K880" i="3"/>
  <c r="H878" i="3"/>
  <c r="H877" i="3"/>
  <c r="H867" i="3"/>
  <c r="N855" i="3"/>
  <c r="M855" i="3"/>
  <c r="N854" i="3"/>
  <c r="M854" i="3"/>
  <c r="N853" i="3"/>
  <c r="M853" i="3"/>
  <c r="L853" i="3"/>
  <c r="M852" i="3"/>
  <c r="N851" i="3"/>
  <c r="N850" i="3"/>
  <c r="N856" i="3" s="1"/>
  <c r="M850" i="3"/>
  <c r="Z827" i="3"/>
  <c r="Y827" i="3"/>
  <c r="Z825" i="3"/>
  <c r="Z824" i="3"/>
  <c r="Z823" i="3"/>
  <c r="X822" i="3"/>
  <c r="X819" i="3"/>
  <c r="Y817" i="3"/>
  <c r="Z817" i="3" s="1"/>
  <c r="Y815" i="3"/>
  <c r="Z815" i="3" s="1"/>
  <c r="BF814" i="3"/>
  <c r="BM723" i="3" s="1"/>
  <c r="BD814" i="3"/>
  <c r="BE814" i="3" s="1"/>
  <c r="Y814" i="3"/>
  <c r="BE812" i="3"/>
  <c r="X812" i="3"/>
  <c r="BE811" i="3"/>
  <c r="X811" i="3"/>
  <c r="BE808" i="3"/>
  <c r="BE809" i="3" s="1"/>
  <c r="BK723" i="3" s="1"/>
  <c r="BD808" i="3"/>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H794" i="3"/>
  <c r="K793" i="3"/>
  <c r="C937" i="3" s="1"/>
  <c r="H793" i="3"/>
  <c r="L792" i="3"/>
  <c r="M755" i="3" s="1"/>
  <c r="K792" i="3"/>
  <c r="C936" i="3" s="1"/>
  <c r="H792" i="3"/>
  <c r="H791" i="3"/>
  <c r="R790" i="3"/>
  <c r="L790" i="3"/>
  <c r="R789" i="3" s="1"/>
  <c r="K790" i="3"/>
  <c r="H790" i="3"/>
  <c r="J797" i="3" s="1"/>
  <c r="K789" i="3"/>
  <c r="H789" i="3"/>
  <c r="R788" i="3"/>
  <c r="K788" i="3"/>
  <c r="H788" i="3"/>
  <c r="K787" i="3"/>
  <c r="H787" i="3"/>
  <c r="K786" i="3"/>
  <c r="H786" i="3"/>
  <c r="BA785" i="3"/>
  <c r="K785" i="3"/>
  <c r="H785" i="3"/>
  <c r="BA784" i="3"/>
  <c r="H784" i="3"/>
  <c r="L783" i="3"/>
  <c r="H783" i="3"/>
  <c r="R782" i="3"/>
  <c r="H782" i="3"/>
  <c r="H781" i="3"/>
  <c r="H780" i="3"/>
  <c r="H779" i="3"/>
  <c r="I775" i="3"/>
  <c r="AA737" i="3" s="1"/>
  <c r="AM737" i="3" s="1"/>
  <c r="M768" i="3"/>
  <c r="N767" i="3"/>
  <c r="N766" i="3"/>
  <c r="BA760" i="3"/>
  <c r="AZ760" i="3"/>
  <c r="N758" i="3"/>
  <c r="AB757" i="3"/>
  <c r="S757" i="3"/>
  <c r="N757" i="3"/>
  <c r="AG756" i="3"/>
  <c r="N756" i="3"/>
  <c r="AG755" i="3"/>
  <c r="N755" i="3"/>
  <c r="AE754" i="3"/>
  <c r="Z754" i="3"/>
  <c r="W753" i="3"/>
  <c r="N753" i="3"/>
  <c r="M753" i="3"/>
  <c r="AJ752" i="3"/>
  <c r="W752" i="3"/>
  <c r="N752" i="3"/>
  <c r="AJ751" i="3"/>
  <c r="N751" i="3"/>
  <c r="M751" i="3"/>
  <c r="AE750" i="3"/>
  <c r="AD750" i="3"/>
  <c r="N750" i="3"/>
  <c r="BG749" i="3"/>
  <c r="BE749" i="3"/>
  <c r="AD749" i="3"/>
  <c r="AC749" i="3"/>
  <c r="N749" i="3"/>
  <c r="M749" i="3"/>
  <c r="N748" i="3"/>
  <c r="AD747" i="3"/>
  <c r="AC747" i="3"/>
  <c r="S747" i="3"/>
  <c r="V747" i="3" s="1"/>
  <c r="AJ744" i="3"/>
  <c r="AJ745" i="3" s="1"/>
  <c r="BH742" i="3"/>
  <c r="BE742" i="3"/>
  <c r="AB742" i="3"/>
  <c r="Z742" i="3"/>
  <c r="BE741" i="3"/>
  <c r="AV741" i="3"/>
  <c r="W739" i="3"/>
  <c r="AF738" i="3"/>
  <c r="AE738" i="3"/>
  <c r="AE740" i="3" s="1"/>
  <c r="AA738" i="3"/>
  <c r="AB747" i="3" s="1"/>
  <c r="I779" i="3" s="1"/>
  <c r="AX736" i="3"/>
  <c r="AX735" i="3"/>
  <c r="R735" i="3"/>
  <c r="O735" i="3"/>
  <c r="AX734" i="3"/>
  <c r="AD738" i="3" s="1"/>
  <c r="AS734" i="3"/>
  <c r="AW732" i="3"/>
  <c r="Y726" i="3"/>
  <c r="Y727" i="3" s="1"/>
  <c r="BN723" i="3"/>
  <c r="AW723" i="3"/>
  <c r="D939" i="3" s="1"/>
  <c r="BD722" i="3"/>
  <c r="BB722" i="3"/>
  <c r="AW722" i="3"/>
  <c r="P724" i="3" s="1"/>
  <c r="AT722" i="3"/>
  <c r="AM722" i="3"/>
  <c r="AA721" i="3"/>
  <c r="P721" i="3"/>
  <c r="O721" i="3" s="1"/>
  <c r="BO720" i="3"/>
  <c r="AN720" i="3"/>
  <c r="AM720" i="3"/>
  <c r="AQ719" i="3"/>
  <c r="W719" i="3"/>
  <c r="O719" i="3"/>
  <c r="AQ718" i="3"/>
  <c r="T718" i="3"/>
  <c r="T719" i="3" s="1"/>
  <c r="R718" i="3"/>
  <c r="AG717" i="3"/>
  <c r="Z717" i="3"/>
  <c r="R716" i="3"/>
  <c r="AP714" i="3"/>
  <c r="Y714" i="3"/>
  <c r="AP713" i="3"/>
  <c r="AP712" i="3"/>
  <c r="Q712" i="3"/>
  <c r="AE711" i="3"/>
  <c r="AP710" i="3"/>
  <c r="AP711" i="3" s="1"/>
  <c r="Q710" i="3"/>
  <c r="AP708" i="3"/>
  <c r="AP709" i="3" s="1"/>
  <c r="AP706" i="3"/>
  <c r="AP707" i="3" s="1"/>
  <c r="AP705" i="3"/>
  <c r="L776" i="3" s="1"/>
  <c r="K776" i="3" s="1"/>
  <c r="T705" i="3"/>
  <c r="S704" i="3"/>
  <c r="T704" i="3" s="1"/>
  <c r="D234" i="3"/>
  <c r="D231" i="3"/>
  <c r="D230" i="3"/>
  <c r="C230" i="3"/>
  <c r="D229" i="3"/>
  <c r="C229" i="3"/>
  <c r="S23" i="3" s="1"/>
  <c r="D228" i="3"/>
  <c r="C228" i="3"/>
  <c r="C227" i="3"/>
  <c r="D226" i="3"/>
  <c r="C226" i="3"/>
  <c r="D225" i="3"/>
  <c r="C225" i="3"/>
  <c r="D224" i="3"/>
  <c r="C224" i="3"/>
  <c r="L223" i="3"/>
  <c r="I223" i="3" s="1"/>
  <c r="L222" i="3"/>
  <c r="I222" i="3"/>
  <c r="D222" i="3"/>
  <c r="C222" i="3"/>
  <c r="L221" i="3"/>
  <c r="I221" i="3" s="1"/>
  <c r="L220" i="3"/>
  <c r="I220" i="3" s="1"/>
  <c r="L219" i="3"/>
  <c r="I219" i="3"/>
  <c r="L218" i="3"/>
  <c r="I218" i="3"/>
  <c r="L217" i="3"/>
  <c r="I217" i="3"/>
  <c r="L216" i="3"/>
  <c r="I216" i="3"/>
  <c r="L215" i="3"/>
  <c r="I215" i="3"/>
  <c r="L214" i="3"/>
  <c r="I214" i="3"/>
  <c r="L213" i="3"/>
  <c r="I213" i="3"/>
  <c r="L212" i="3"/>
  <c r="I212" i="3"/>
  <c r="F212" i="3"/>
  <c r="L211" i="3"/>
  <c r="I211" i="3"/>
  <c r="F211" i="3"/>
  <c r="L210" i="3"/>
  <c r="I210" i="3"/>
  <c r="F210" i="3"/>
  <c r="L209" i="3"/>
  <c r="I209" i="3"/>
  <c r="L208" i="3"/>
  <c r="I208" i="3"/>
  <c r="L207" i="3"/>
  <c r="I207" i="3" s="1"/>
  <c r="L206" i="3"/>
  <c r="L205" i="3"/>
  <c r="G204" i="3"/>
  <c r="F204" i="3"/>
  <c r="G203" i="3"/>
  <c r="G202" i="3"/>
  <c r="D202" i="3"/>
  <c r="B202" i="3"/>
  <c r="C201" i="3"/>
  <c r="D198" i="3"/>
  <c r="B198" i="3"/>
  <c r="D197" i="3"/>
  <c r="B197" i="3"/>
  <c r="D196" i="3"/>
  <c r="B196" i="3"/>
  <c r="B195" i="3"/>
  <c r="B194" i="3"/>
  <c r="B199" i="3" s="1"/>
  <c r="F193" i="3"/>
  <c r="H192" i="3"/>
  <c r="G190" i="3"/>
  <c r="F189" i="3"/>
  <c r="F187" i="3"/>
  <c r="C186" i="3"/>
  <c r="F182" i="3"/>
  <c r="G180" i="3"/>
  <c r="G179" i="3"/>
  <c r="G178" i="3"/>
  <c r="G177" i="3"/>
  <c r="J175" i="3"/>
  <c r="I173" i="3"/>
  <c r="M168" i="3"/>
  <c r="I167" i="3"/>
  <c r="I163" i="3"/>
  <c r="I162" i="3"/>
  <c r="I161" i="3"/>
  <c r="H160" i="3"/>
  <c r="H158" i="3"/>
  <c r="H157" i="3"/>
  <c r="H159" i="3" s="1"/>
  <c r="H156" i="3"/>
  <c r="H193" i="3" s="1"/>
  <c r="H155" i="3"/>
  <c r="D155" i="3"/>
  <c r="H153" i="3"/>
  <c r="I152" i="3"/>
  <c r="E151" i="3"/>
  <c r="F145" i="3"/>
  <c r="F144" i="3"/>
  <c r="F146" i="3" s="1"/>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2" i="3"/>
  <c r="S111" i="3"/>
  <c r="R111" i="3"/>
  <c r="S110" i="3"/>
  <c r="R110" i="3"/>
  <c r="S109" i="3"/>
  <c r="R109" i="3"/>
  <c r="R108" i="3"/>
  <c r="S107" i="3"/>
  <c r="S106" i="3"/>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P96" i="3"/>
  <c r="Q96" i="3" s="1"/>
  <c r="O96" i="3"/>
  <c r="BJ95" i="3"/>
  <c r="BI95" i="3"/>
  <c r="P95" i="3"/>
  <c r="Q95" i="3" s="1"/>
  <c r="O95" i="3"/>
  <c r="BJ94" i="3"/>
  <c r="BI94" i="3"/>
  <c r="P94" i="3"/>
  <c r="Q94" i="3" s="1"/>
  <c r="O94" i="3"/>
  <c r="BJ93" i="3"/>
  <c r="BI93" i="3"/>
  <c r="P93" i="3"/>
  <c r="Q93" i="3" s="1"/>
  <c r="O93" i="3"/>
  <c r="BJ92" i="3"/>
  <c r="BI92" i="3"/>
  <c r="Q92" i="3"/>
  <c r="P92" i="3"/>
  <c r="O92" i="3"/>
  <c r="Q91" i="3"/>
  <c r="P91" i="3"/>
  <c r="O91" i="3"/>
  <c r="P90" i="3"/>
  <c r="Q90" i="3" s="1"/>
  <c r="O90" i="3"/>
  <c r="P89" i="3"/>
  <c r="Q89" i="3" s="1"/>
  <c r="O89" i="3"/>
  <c r="P88" i="3"/>
  <c r="Q88" i="3" s="1"/>
  <c r="O88" i="3"/>
  <c r="P87" i="3"/>
  <c r="Q87" i="3" s="1"/>
  <c r="O87" i="3"/>
  <c r="P86" i="3"/>
  <c r="Q86" i="3" s="1"/>
  <c r="O86" i="3"/>
  <c r="W80" i="3"/>
  <c r="W78" i="3"/>
  <c r="BF75" i="3"/>
  <c r="L75" i="3"/>
  <c r="K75" i="3"/>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BF46" i="3"/>
  <c r="AO46" i="3"/>
  <c r="AL46" i="3"/>
  <c r="P46" i="3"/>
  <c r="K46" i="3"/>
  <c r="K47" i="3" s="1"/>
  <c r="AL45" i="3"/>
  <c r="P45" i="3"/>
  <c r="BF44" i="3"/>
  <c r="AJ44" i="3"/>
  <c r="AE44" i="3"/>
  <c r="P44" i="3"/>
  <c r="AZ42" i="3"/>
  <c r="BA44" i="3" s="1"/>
  <c r="AO42" i="3"/>
  <c r="AB42" i="3"/>
  <c r="N42" i="3"/>
  <c r="M42" i="3"/>
  <c r="AO41" i="3"/>
  <c r="AF41" i="3"/>
  <c r="AF42" i="3" s="1"/>
  <c r="BL40" i="3"/>
  <c r="AI40" i="3"/>
  <c r="P40" i="3"/>
  <c r="Q40" i="3" s="1"/>
  <c r="R40" i="3" s="1"/>
  <c r="I40" i="3"/>
  <c r="I41" i="3" s="1"/>
  <c r="I42" i="3" s="1"/>
  <c r="I43" i="3" s="1"/>
  <c r="I44" i="3" s="1"/>
  <c r="I45" i="3" s="1"/>
  <c r="BL39" i="3"/>
  <c r="BL41" i="3" s="1"/>
  <c r="BL42" i="3" s="1"/>
  <c r="BJ39" i="3"/>
  <c r="AI39" i="3"/>
  <c r="AH39" i="3"/>
  <c r="AJ40" i="3" s="1"/>
  <c r="AE39" i="3"/>
  <c r="AE38" i="3" s="1"/>
  <c r="P39" i="3"/>
  <c r="Q39" i="3" s="1"/>
  <c r="O39" i="3"/>
  <c r="R39" i="3" s="1"/>
  <c r="O36" i="3" s="1"/>
  <c r="C39" i="3"/>
  <c r="X23" i="3" s="1"/>
  <c r="AG38" i="3"/>
  <c r="AI37" i="3"/>
  <c r="AH37" i="3"/>
  <c r="AJ36" i="3" s="1"/>
  <c r="X37" i="3"/>
  <c r="AA37" i="3" s="1"/>
  <c r="O37" i="3"/>
  <c r="K37" i="3"/>
  <c r="AQ36" i="3"/>
  <c r="L36" i="3"/>
  <c r="I35" i="3"/>
  <c r="H35" i="3"/>
  <c r="AO34" i="3"/>
  <c r="AO35" i="3" s="1"/>
  <c r="I34" i="3"/>
  <c r="W33" i="3"/>
  <c r="T30" i="3" s="1"/>
  <c r="D135" i="3" s="1"/>
  <c r="V33" i="3"/>
  <c r="U33" i="3"/>
  <c r="T33" i="3"/>
  <c r="BM32" i="3"/>
  <c r="BJ32" i="3"/>
  <c r="BA32" i="3"/>
  <c r="AG32" i="3"/>
  <c r="AE32" i="3"/>
  <c r="W32" i="3"/>
  <c r="T29" i="3" s="1"/>
  <c r="D134" i="3" s="1"/>
  <c r="V32" i="3"/>
  <c r="U32" i="3"/>
  <c r="F32" i="3"/>
  <c r="BJ31" i="3"/>
  <c r="BA31" i="3"/>
  <c r="AP31" i="3"/>
  <c r="AO31" i="3"/>
  <c r="AJ30" i="3"/>
  <c r="S30" i="3"/>
  <c r="E30" i="3"/>
  <c r="D30" i="3"/>
  <c r="C30" i="3"/>
  <c r="F30" i="3" s="1"/>
  <c r="F31" i="3" s="1"/>
  <c r="AY29" i="3"/>
  <c r="AB29" i="3"/>
  <c r="S29" i="3"/>
  <c r="F29" i="3"/>
  <c r="AK28" i="3"/>
  <c r="AJ28" i="3"/>
  <c r="Q28" i="3"/>
  <c r="P28" i="3"/>
  <c r="P29" i="3" s="1"/>
  <c r="BJ26" i="3"/>
  <c r="BC26" i="3"/>
  <c r="AF27" i="3" s="1"/>
  <c r="AR27" i="3" s="1"/>
  <c r="E26" i="3"/>
  <c r="D26" i="3"/>
  <c r="C26" i="3"/>
  <c r="F26" i="3" s="1"/>
  <c r="J66" i="3" s="1"/>
  <c r="K66" i="3" s="1"/>
  <c r="C18" i="3" s="1"/>
  <c r="C37" i="3" s="1"/>
  <c r="DF25" i="3"/>
  <c r="BJ25" i="3"/>
  <c r="BC25" i="3"/>
  <c r="W25" i="3"/>
  <c r="T25" i="3"/>
  <c r="S25" i="3"/>
  <c r="Q25" i="3"/>
  <c r="P25" i="3"/>
  <c r="F25" i="3"/>
  <c r="C17" i="3" s="1"/>
  <c r="F16" i="3" s="1"/>
  <c r="BJ24" i="3"/>
  <c r="BC24" i="3"/>
  <c r="AX24" i="3"/>
  <c r="R24" i="3"/>
  <c r="O24" i="3"/>
  <c r="N24" i="3"/>
  <c r="CS23" i="3"/>
  <c r="CS24" i="3" s="1"/>
  <c r="CS25" i="3" s="1"/>
  <c r="CS26" i="3" s="1"/>
  <c r="CS27" i="3" s="1"/>
  <c r="BJ23" i="3"/>
  <c r="CS22" i="3"/>
  <c r="BJ22" i="3"/>
  <c r="BJ27" i="3" s="1"/>
  <c r="BB22" i="3"/>
  <c r="S22" i="3"/>
  <c r="O22" i="3"/>
  <c r="V21" i="3"/>
  <c r="S21" i="3"/>
  <c r="O21" i="3"/>
  <c r="BS20" i="3"/>
  <c r="BR20" i="3"/>
  <c r="BB20" i="3"/>
  <c r="D227" i="3" s="1"/>
  <c r="W20" i="3"/>
  <c r="S20" i="3"/>
  <c r="O20" i="3"/>
  <c r="CT19" i="3"/>
  <c r="CT20" i="3" s="1"/>
  <c r="CT21" i="3" s="1"/>
  <c r="CT22" i="3" s="1"/>
  <c r="CT23" i="3" s="1"/>
  <c r="CT24" i="3" s="1"/>
  <c r="CT25" i="3" s="1"/>
  <c r="CT26" i="3" s="1"/>
  <c r="CT27" i="3" s="1"/>
  <c r="BO19" i="3"/>
  <c r="BS19" i="3" s="1"/>
  <c r="BU21" i="3" s="1"/>
  <c r="BH19" i="3"/>
  <c r="BG19" i="3"/>
  <c r="BB19" i="3"/>
  <c r="AY19" i="3"/>
  <c r="AR19" i="3"/>
  <c r="S19" i="3"/>
  <c r="P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S15" i="3"/>
  <c r="P15" i="3"/>
  <c r="CT14" i="3"/>
  <c r="CT15" i="3" s="1"/>
  <c r="CT16" i="3" s="1"/>
  <c r="CT17" i="3" s="1"/>
  <c r="CT18" i="3" s="1"/>
  <c r="AL14" i="3"/>
  <c r="AE14" i="3"/>
  <c r="S14" i="3"/>
  <c r="R14" i="3"/>
  <c r="P14" i="3"/>
  <c r="K14" i="3"/>
  <c r="CT13" i="3"/>
  <c r="W13" i="3"/>
  <c r="S13" i="3"/>
  <c r="P13" i="3"/>
  <c r="S12" i="3"/>
  <c r="R12" i="3"/>
  <c r="P12" i="3"/>
  <c r="AD11" i="3"/>
  <c r="F213" i="3" s="1"/>
  <c r="S11" i="3"/>
  <c r="P11" i="3"/>
  <c r="N10" i="3"/>
  <c r="V9" i="3"/>
  <c r="Q9" i="3"/>
  <c r="AJ8" i="3"/>
  <c r="P4" i="3" s="1"/>
  <c r="P6" i="3" s="1"/>
  <c r="T8" i="3"/>
  <c r="N8" i="3"/>
  <c r="N25" i="3" s="1"/>
  <c r="V7" i="3"/>
  <c r="V8" i="3" s="1"/>
  <c r="T7" i="3"/>
  <c r="P106" i="3" s="1"/>
  <c r="O7" i="3"/>
  <c r="O19" i="3" s="1"/>
  <c r="N7" i="3"/>
  <c r="C7" i="3"/>
  <c r="K13" i="3" s="1"/>
  <c r="N3" i="3"/>
  <c r="G3" i="3"/>
  <c r="C21" i="3" s="1"/>
  <c r="N2" i="3"/>
  <c r="Y1" i="3"/>
  <c r="Y2" i="3" s="1"/>
  <c r="X1" i="3"/>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2" i="4"/>
  <c r="E911" i="4"/>
  <c r="E910" i="4"/>
  <c r="D910" i="4"/>
  <c r="B910" i="4"/>
  <c r="G909" i="4"/>
  <c r="E909" i="4"/>
  <c r="D909" i="4"/>
  <c r="B909" i="4"/>
  <c r="G908" i="4"/>
  <c r="G945" i="4" s="1"/>
  <c r="E908" i="4"/>
  <c r="D908" i="4"/>
  <c r="B908" i="4"/>
  <c r="G907" i="4"/>
  <c r="E907" i="4"/>
  <c r="B907" i="4"/>
  <c r="E906" i="4"/>
  <c r="B906" i="4"/>
  <c r="B911" i="4" s="1"/>
  <c r="G905" i="4"/>
  <c r="F904" i="4"/>
  <c r="F903" i="4"/>
  <c r="F902" i="4"/>
  <c r="C898" i="4"/>
  <c r="H882" i="4"/>
  <c r="H878" i="4"/>
  <c r="H877" i="4"/>
  <c r="H867" i="4"/>
  <c r="N856" i="4"/>
  <c r="N855" i="4"/>
  <c r="M855" i="4"/>
  <c r="N854" i="4"/>
  <c r="M854" i="4"/>
  <c r="N853" i="4"/>
  <c r="M853" i="4"/>
  <c r="L853" i="4"/>
  <c r="M852" i="4"/>
  <c r="N851" i="4"/>
  <c r="N850" i="4"/>
  <c r="M850" i="4"/>
  <c r="Y827" i="4"/>
  <c r="Z827" i="4" s="1"/>
  <c r="Z825" i="4"/>
  <c r="Z824" i="4"/>
  <c r="Z823" i="4"/>
  <c r="X822" i="4"/>
  <c r="X819" i="4"/>
  <c r="Y817" i="4"/>
  <c r="Z817" i="4" s="1"/>
  <c r="Y815" i="4"/>
  <c r="Z815" i="4" s="1"/>
  <c r="BF814" i="4"/>
  <c r="BM723" i="4" s="1"/>
  <c r="BD814" i="4"/>
  <c r="BE814" i="4" s="1"/>
  <c r="Y814" i="4"/>
  <c r="Z814" i="4" s="1"/>
  <c r="BE812" i="4"/>
  <c r="BH723" i="4" s="1"/>
  <c r="BH733" i="4" s="1"/>
  <c r="X812" i="4"/>
  <c r="BE811" i="4"/>
  <c r="X811" i="4"/>
  <c r="BE808" i="4"/>
  <c r="BE809" i="4" s="1"/>
  <c r="BK723" i="4" s="1"/>
  <c r="BK733" i="4" s="1"/>
  <c r="BD808" i="4"/>
  <c r="BD809" i="4" s="1"/>
  <c r="BE807" i="4"/>
  <c r="BD807" i="4"/>
  <c r="BE806" i="4"/>
  <c r="BD806" i="4"/>
  <c r="L806" i="4"/>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R788" i="4"/>
  <c r="K788" i="4"/>
  <c r="K787" i="4"/>
  <c r="K786" i="4"/>
  <c r="BA785" i="4"/>
  <c r="K785" i="4"/>
  <c r="BA784" i="4"/>
  <c r="L783" i="4"/>
  <c r="R782" i="4"/>
  <c r="I775" i="4"/>
  <c r="N738" i="4" s="1"/>
  <c r="G919" i="4" s="1"/>
  <c r="M768" i="4"/>
  <c r="AZ760" i="4"/>
  <c r="N758" i="4"/>
  <c r="AB757" i="4"/>
  <c r="S757" i="4"/>
  <c r="N757" i="4"/>
  <c r="AG756" i="4"/>
  <c r="N756" i="4"/>
  <c r="AG755" i="4"/>
  <c r="AE754" i="4"/>
  <c r="Z754" i="4"/>
  <c r="W753" i="4"/>
  <c r="N753" i="4"/>
  <c r="M753" i="4"/>
  <c r="W752" i="4"/>
  <c r="N752" i="4"/>
  <c r="AJ751" i="4"/>
  <c r="AJ752" i="4" s="1"/>
  <c r="N751" i="4"/>
  <c r="M751" i="4"/>
  <c r="N750" i="4"/>
  <c r="BG749" i="4"/>
  <c r="AD749" i="4"/>
  <c r="AC749" i="4"/>
  <c r="N749" i="4"/>
  <c r="M749" i="4"/>
  <c r="N748" i="4"/>
  <c r="AD747" i="4"/>
  <c r="AC747" i="4"/>
  <c r="AE746" i="4" s="1"/>
  <c r="S747" i="4"/>
  <c r="V747" i="4" s="1"/>
  <c r="AJ744" i="4"/>
  <c r="AJ745" i="4" s="1"/>
  <c r="BH742" i="4"/>
  <c r="BE742" i="4"/>
  <c r="AB742" i="4"/>
  <c r="Z742" i="4"/>
  <c r="BE741" i="4"/>
  <c r="AV741" i="4"/>
  <c r="W739" i="4"/>
  <c r="AF738" i="4"/>
  <c r="AE738" i="4"/>
  <c r="AE740" i="4" s="1"/>
  <c r="AX735" i="4"/>
  <c r="R735" i="4"/>
  <c r="O735" i="4"/>
  <c r="AS734" i="4"/>
  <c r="AW732" i="4"/>
  <c r="Y727" i="4"/>
  <c r="Y726" i="4"/>
  <c r="BN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D228" i="4"/>
  <c r="C228" i="4"/>
  <c r="C227" i="4"/>
  <c r="C226" i="4"/>
  <c r="D225" i="4"/>
  <c r="C225" i="4"/>
  <c r="D224" i="4"/>
  <c r="C224" i="4"/>
  <c r="L223" i="4"/>
  <c r="I223" i="4"/>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8" i="4"/>
  <c r="F187" i="4"/>
  <c r="F186" i="4"/>
  <c r="C186" i="4"/>
  <c r="F185" i="4"/>
  <c r="F184" i="4"/>
  <c r="F183" i="4"/>
  <c r="F182" i="4"/>
  <c r="G179" i="4"/>
  <c r="G178" i="4"/>
  <c r="G177" i="4"/>
  <c r="I173" i="4"/>
  <c r="M168" i="4"/>
  <c r="I167" i="4"/>
  <c r="I163" i="4"/>
  <c r="I162" i="4"/>
  <c r="I161" i="4"/>
  <c r="H160" i="4"/>
  <c r="H158" i="4"/>
  <c r="H157" i="4"/>
  <c r="H159" i="4" s="1"/>
  <c r="H156" i="4"/>
  <c r="H193" i="4" s="1"/>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P102" i="4"/>
  <c r="Q102" i="4" s="1"/>
  <c r="O102" i="4"/>
  <c r="BJ101" i="4"/>
  <c r="P101" i="4"/>
  <c r="Q101" i="4" s="1"/>
  <c r="O101" i="4"/>
  <c r="O100" i="4"/>
  <c r="P100" i="4" s="1"/>
  <c r="Q100" i="4" s="1"/>
  <c r="O99" i="4"/>
  <c r="P99" i="4" s="1"/>
  <c r="Q99" i="4" s="1"/>
  <c r="BJ98" i="4"/>
  <c r="BJ99" i="4" s="1"/>
  <c r="O98" i="4"/>
  <c r="P98" i="4" s="1"/>
  <c r="Q98" i="4" s="1"/>
  <c r="BJ97" i="4"/>
  <c r="BI97" i="4"/>
  <c r="O97" i="4"/>
  <c r="P97" i="4" s="1"/>
  <c r="Q97" i="4" s="1"/>
  <c r="BJ96" i="4"/>
  <c r="BI96" i="4"/>
  <c r="O96" i="4"/>
  <c r="P96" i="4" s="1"/>
  <c r="Q96" i="4" s="1"/>
  <c r="BJ95" i="4"/>
  <c r="BI95" i="4"/>
  <c r="O95" i="4"/>
  <c r="P95" i="4" s="1"/>
  <c r="Q95" i="4" s="1"/>
  <c r="BJ94" i="4"/>
  <c r="BI94" i="4"/>
  <c r="P94" i="4"/>
  <c r="Q94" i="4" s="1"/>
  <c r="O94" i="4"/>
  <c r="BJ93" i="4"/>
  <c r="BI93" i="4"/>
  <c r="O93" i="4"/>
  <c r="P93" i="4" s="1"/>
  <c r="Q93" i="4" s="1"/>
  <c r="BJ92" i="4"/>
  <c r="BI92" i="4"/>
  <c r="O92" i="4"/>
  <c r="P92" i="4" s="1"/>
  <c r="Q92" i="4" s="1"/>
  <c r="P91" i="4"/>
  <c r="Q91" i="4" s="1"/>
  <c r="O91" i="4"/>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AF25" i="4" s="1"/>
  <c r="BE50" i="4"/>
  <c r="AB50" i="4"/>
  <c r="S108" i="4" s="1"/>
  <c r="P50" i="4"/>
  <c r="AB49" i="4"/>
  <c r="Z49" i="4"/>
  <c r="P49" i="4"/>
  <c r="AB48" i="4"/>
  <c r="P48" i="4"/>
  <c r="AG47" i="4"/>
  <c r="Z50" i="4" s="1"/>
  <c r="Z51" i="4" s="1"/>
  <c r="P47" i="4"/>
  <c r="BF46" i="4"/>
  <c r="AO46" i="4"/>
  <c r="AL46" i="4"/>
  <c r="P46" i="4"/>
  <c r="K46" i="4"/>
  <c r="K47" i="4" s="1"/>
  <c r="AL45" i="4"/>
  <c r="P45" i="4"/>
  <c r="AJ44" i="4"/>
  <c r="AE44" i="4"/>
  <c r="P44" i="4"/>
  <c r="BA43" i="4"/>
  <c r="AZ42" i="4"/>
  <c r="BA44" i="4" s="1"/>
  <c r="AF42" i="4"/>
  <c r="AB42" i="4"/>
  <c r="BC24" i="4" s="1"/>
  <c r="AG36" i="4" s="1"/>
  <c r="N42" i="4"/>
  <c r="M42" i="4"/>
  <c r="AO41" i="4"/>
  <c r="AO42" i="4" s="1"/>
  <c r="AF41" i="4"/>
  <c r="BL40" i="4"/>
  <c r="Q40" i="4"/>
  <c r="P40" i="4"/>
  <c r="I40" i="4"/>
  <c r="I41" i="4" s="1"/>
  <c r="I42" i="4" s="1"/>
  <c r="I43" i="4" s="1"/>
  <c r="I44" i="4" s="1"/>
  <c r="I45" i="4" s="1"/>
  <c r="BL39" i="4"/>
  <c r="BL41" i="4" s="1"/>
  <c r="BL42" i="4" s="1"/>
  <c r="BJ39" i="4"/>
  <c r="AI39" i="4"/>
  <c r="AH39" i="4"/>
  <c r="AE39" i="4"/>
  <c r="AE38" i="4" s="1"/>
  <c r="Q39" i="4"/>
  <c r="P39" i="4"/>
  <c r="O39" i="4"/>
  <c r="R39" i="4" s="1"/>
  <c r="O36" i="4" s="1"/>
  <c r="AG38" i="4"/>
  <c r="AI37" i="4"/>
  <c r="AH37" i="4"/>
  <c r="AJ36" i="4" s="1"/>
  <c r="AA37" i="4"/>
  <c r="X37" i="4"/>
  <c r="K37" i="4"/>
  <c r="AQ36" i="4"/>
  <c r="L36" i="4"/>
  <c r="I35" i="4"/>
  <c r="H35" i="4"/>
  <c r="AO34" i="4"/>
  <c r="AO35" i="4" s="1"/>
  <c r="I34" i="4"/>
  <c r="U33" i="4"/>
  <c r="T33" i="4"/>
  <c r="BM32" i="4"/>
  <c r="BJ32" i="4"/>
  <c r="BA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P25" i="4"/>
  <c r="S25" i="4" s="1"/>
  <c r="N24" i="4"/>
  <c r="F25" i="4"/>
  <c r="BJ24" i="4"/>
  <c r="AX24" i="4"/>
  <c r="R24" i="4"/>
  <c r="BJ23" i="4"/>
  <c r="S23" i="4"/>
  <c r="O22" i="4"/>
  <c r="CS22" i="4"/>
  <c r="CS23" i="4" s="1"/>
  <c r="BJ22" i="4"/>
  <c r="BJ27" i="4" s="1"/>
  <c r="BB22" i="4"/>
  <c r="S22" i="4"/>
  <c r="S21" i="4"/>
  <c r="O21" i="4"/>
  <c r="BS20" i="4"/>
  <c r="BP20" i="4"/>
  <c r="BP26" i="4" s="1"/>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CT14" i="4"/>
  <c r="CT15" i="4" s="1"/>
  <c r="CT16" i="4" s="1"/>
  <c r="CT17" i="4" s="1"/>
  <c r="CT18" i="4" s="1"/>
  <c r="CT19" i="4" s="1"/>
  <c r="CT20" i="4" s="1"/>
  <c r="CT21" i="4" s="1"/>
  <c r="CT22" i="4" s="1"/>
  <c r="CT23" i="4" s="1"/>
  <c r="CT24" i="4" s="1"/>
  <c r="CT25" i="4" s="1"/>
  <c r="CT26" i="4" s="1"/>
  <c r="CT27" i="4" s="1"/>
  <c r="AL14" i="4"/>
  <c r="AE14" i="4"/>
  <c r="I164" i="4" s="1"/>
  <c r="R14" i="4"/>
  <c r="P14" i="4"/>
  <c r="CT13" i="4"/>
  <c r="W13" i="4"/>
  <c r="S13" i="4"/>
  <c r="P13" i="4"/>
  <c r="S12" i="4"/>
  <c r="R12" i="4"/>
  <c r="P12" i="4"/>
  <c r="S14" i="4"/>
  <c r="AD11" i="4"/>
  <c r="F213" i="4" s="1"/>
  <c r="P11" i="4"/>
  <c r="Q9" i="4"/>
  <c r="AJ8" i="4"/>
  <c r="P4" i="4" s="1"/>
  <c r="P6" i="4" s="1"/>
  <c r="T8" i="4"/>
  <c r="S11" i="4"/>
  <c r="V7" i="4"/>
  <c r="V8" i="4" s="1"/>
  <c r="T7" i="4"/>
  <c r="P106" i="4" s="1"/>
  <c r="C7" i="4"/>
  <c r="R5" i="4"/>
  <c r="G3" i="4"/>
  <c r="X1" i="4"/>
  <c r="Y1" i="4" s="1"/>
  <c r="Y2" i="4" s="1"/>
  <c r="S1" i="4"/>
  <c r="H167" i="4" s="1"/>
  <c r="B5" i="1"/>
  <c r="B4" i="1"/>
  <c r="AU44" i="1"/>
  <c r="AV44" i="1"/>
  <c r="AV45" i="1"/>
  <c r="C39" i="1"/>
  <c r="C40" i="1"/>
  <c r="K77" i="3" l="1"/>
  <c r="G145" i="3"/>
  <c r="G142" i="3" s="1"/>
  <c r="F143" i="3"/>
  <c r="M49" i="3"/>
  <c r="BF20" i="4"/>
  <c r="BF26" i="4" s="1"/>
  <c r="BM20" i="3"/>
  <c r="BM26" i="3" s="1"/>
  <c r="I902" i="3"/>
  <c r="BN20" i="3"/>
  <c r="BU24" i="3"/>
  <c r="BU22" i="3"/>
  <c r="BU27" i="3" s="1"/>
  <c r="BU26" i="3"/>
  <c r="BL20" i="3"/>
  <c r="BJ20" i="3"/>
  <c r="BI19" i="3"/>
  <c r="BF20" i="3"/>
  <c r="BF25" i="3" s="1"/>
  <c r="BS21" i="3"/>
  <c r="BM23" i="3"/>
  <c r="BM35" i="3"/>
  <c r="BM33" i="3" s="1"/>
  <c r="BN33" i="3" s="1"/>
  <c r="BM24" i="3"/>
  <c r="BM22" i="3"/>
  <c r="BM25" i="3"/>
  <c r="D949" i="3"/>
  <c r="D950" i="3" s="1"/>
  <c r="D951" i="3" s="1"/>
  <c r="D946" i="3" s="1"/>
  <c r="BM738" i="4"/>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2" i="3"/>
  <c r="BN27" i="3" s="1"/>
  <c r="BN25" i="3"/>
  <c r="BN26" i="3"/>
  <c r="BN24" i="3"/>
  <c r="BN23" i="3"/>
  <c r="BC27" i="3"/>
  <c r="Q8" i="3" s="1"/>
  <c r="I164" i="3"/>
  <c r="AW16" i="3"/>
  <c r="AW15" i="3" s="1"/>
  <c r="AV17" i="3" s="1"/>
  <c r="R5" i="3"/>
  <c r="R19" i="3" s="1"/>
  <c r="BU23" i="3"/>
  <c r="BU25" i="3"/>
  <c r="BK19" i="3"/>
  <c r="BJ29" i="3"/>
  <c r="BM34" i="3"/>
  <c r="BN34" i="3" s="1"/>
  <c r="O25" i="3"/>
  <c r="F14" i="3"/>
  <c r="C10" i="3" s="1"/>
  <c r="J187" i="3"/>
  <c r="U21" i="3"/>
  <c r="BE26" i="3"/>
  <c r="BE24" i="3"/>
  <c r="BE25" i="3"/>
  <c r="BE22" i="3"/>
  <c r="BE27" i="3" s="1"/>
  <c r="AG36" i="3"/>
  <c r="AI28" i="3"/>
  <c r="AF28" i="3"/>
  <c r="AG37" i="3" s="1"/>
  <c r="F33" i="3"/>
  <c r="AI36" i="3"/>
  <c r="M742" i="3"/>
  <c r="M756" i="3" s="1"/>
  <c r="BA43" i="3"/>
  <c r="AF25" i="3" s="1"/>
  <c r="N81" i="3"/>
  <c r="M169" i="3" s="1"/>
  <c r="V22" i="3"/>
  <c r="U22" i="3" s="1"/>
  <c r="BP22" i="3"/>
  <c r="BL23" i="3"/>
  <c r="BS23" i="3"/>
  <c r="BP24" i="3"/>
  <c r="BP26" i="3"/>
  <c r="AY720" i="3"/>
  <c r="AR719" i="3"/>
  <c r="AR718" i="3" s="1"/>
  <c r="G960" i="3"/>
  <c r="AV742" i="3"/>
  <c r="BP23" i="3"/>
  <c r="X22" i="3"/>
  <c r="BS22" i="3"/>
  <c r="BS27" i="3" s="1"/>
  <c r="BL24" i="3"/>
  <c r="BS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K876" i="3" s="1"/>
  <c r="D940" i="3" s="1"/>
  <c r="Z814" i="3"/>
  <c r="F143" i="4"/>
  <c r="Q712" i="4"/>
  <c r="Q5" i="4"/>
  <c r="Q24" i="4" s="1"/>
  <c r="BJ20" i="4"/>
  <c r="BJ29" i="4" s="1"/>
  <c r="U21" i="4"/>
  <c r="BD722" i="4"/>
  <c r="BH734" i="4"/>
  <c r="BH736" i="4"/>
  <c r="N755" i="4"/>
  <c r="BI19" i="4"/>
  <c r="BL20" i="4"/>
  <c r="BL26" i="4" s="1"/>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BN20" i="4"/>
  <c r="BF22" i="4"/>
  <c r="BF27" i="4" s="1"/>
  <c r="BP22" i="4"/>
  <c r="BF23" i="4"/>
  <c r="BP23" i="4"/>
  <c r="BL24" i="4"/>
  <c r="BM25" i="4"/>
  <c r="AI28" i="4"/>
  <c r="BM35" i="4"/>
  <c r="AW16" i="4"/>
  <c r="AW15" i="4" s="1"/>
  <c r="AV17" i="4" s="1"/>
  <c r="N81" i="4"/>
  <c r="M169" i="4" s="1"/>
  <c r="AB43" i="4"/>
  <c r="R19" i="4"/>
  <c r="V21" i="4"/>
  <c r="BM24" i="4"/>
  <c r="BE25" i="4"/>
  <c r="BM26" i="4"/>
  <c r="H779" i="4"/>
  <c r="H780" i="4"/>
  <c r="P107" i="4"/>
  <c r="J188" i="4" s="1"/>
  <c r="BM22" i="4"/>
  <c r="BE24" i="4"/>
  <c r="O24" i="4"/>
  <c r="BF25" i="4"/>
  <c r="BP25" i="4"/>
  <c r="BE26" i="4"/>
  <c r="BC27" i="4"/>
  <c r="AZ38" i="4" s="1"/>
  <c r="V32" i="4"/>
  <c r="W32" i="4" s="1"/>
  <c r="T29" i="4" s="1"/>
  <c r="D134" i="4" s="1"/>
  <c r="AY32" i="4"/>
  <c r="AY36" i="4" s="1"/>
  <c r="AY34" i="4" s="1"/>
  <c r="V33" i="4"/>
  <c r="W33" i="4" s="1"/>
  <c r="T30" i="4" s="1"/>
  <c r="D135" i="4" s="1"/>
  <c r="AI36" i="4"/>
  <c r="F205" i="4" s="1"/>
  <c r="R40" i="4"/>
  <c r="O37" i="4" s="1"/>
  <c r="BK19" i="4"/>
  <c r="BE22" i="4"/>
  <c r="BE27" i="4" s="1"/>
  <c r="BF24"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Q19" i="4" l="1"/>
  <c r="W81" i="4" s="1"/>
  <c r="BG733" i="4"/>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BP28" i="3" l="1"/>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50" i="4" s="1"/>
  <c r="M757" i="4" s="1"/>
  <c r="M758" i="4" s="1"/>
  <c r="M766" i="4"/>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89" i="3"/>
  <c r="BB29" i="3"/>
  <c r="AV14" i="3"/>
  <c r="AJ33" i="3"/>
  <c r="BC90" i="3" s="1"/>
  <c r="BB90" i="3" s="1"/>
  <c r="BB88" i="3"/>
  <c r="BP31" i="3" s="1"/>
  <c r="BM31"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M770" i="4" l="1"/>
  <c r="R26" i="3"/>
  <c r="R25" i="3"/>
  <c r="R27" i="3" s="1"/>
  <c r="M771" i="4"/>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M769" i="3"/>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R792" i="3"/>
  <c r="L795" i="3"/>
  <c r="R793" i="3" s="1"/>
  <c r="L807" i="3"/>
  <c r="L807" i="4" l="1"/>
  <c r="L781" i="4" s="1"/>
  <c r="K781" i="4" s="1"/>
  <c r="AW739" i="3"/>
  <c r="AQ717" i="3"/>
  <c r="R800" i="3"/>
  <c r="BE722" i="3"/>
  <c r="L781" i="3"/>
  <c r="K781" i="3" s="1"/>
  <c r="AE743" i="3"/>
  <c r="AW798" i="3" s="1"/>
  <c r="BK741" i="3" s="1"/>
  <c r="BH741" i="3" s="1"/>
  <c r="AX800" i="3"/>
  <c r="AW800" i="3" s="1"/>
  <c r="AQ717" i="4"/>
  <c r="BE722" i="4"/>
  <c r="AE743" i="4"/>
  <c r="AW798" i="4" s="1"/>
  <c r="BK741" i="4" s="1"/>
  <c r="BH741" i="4" s="1"/>
  <c r="R800" i="4"/>
  <c r="AW739" i="4"/>
  <c r="AX800" i="4" l="1"/>
  <c r="AW800" i="4"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F15952D7-1877-451E-9E3D-090CBA2205A3}">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E7D6E2C5-F0D2-4878-BB52-6536862A93B1}">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1D18EAA9-7CAC-498B-A3B0-206E33B9BF6B}">
      <text>
        <r>
          <rPr>
            <b/>
            <sz val="8"/>
            <color indexed="81"/>
            <rFont val="Tahoma"/>
            <family val="2"/>
          </rPr>
          <t xml:space="preserve"> סכומים אלו  צריכים 
להתאים לתלוש השכר ממנו הזנת את הנתונים </t>
        </r>
      </text>
    </comment>
    <comment ref="O6" authorId="0" shapeId="0" xr:uid="{174F5616-C6A2-439E-B874-CFB2C6FD5355}">
      <text>
        <r>
          <rPr>
            <b/>
            <sz val="8"/>
            <color indexed="81"/>
            <rFont val="Tahoma"/>
            <family val="2"/>
          </rPr>
          <t xml:space="preserve"> סכומים אלו  צריכים 
להתאים לתלוש השכר ממנו הזנת את הנתונים </t>
        </r>
      </text>
    </comment>
    <comment ref="I7" authorId="0" shapeId="0" xr:uid="{07C942A4-A014-4049-B9F1-688ED2E79B26}">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585364EE-98AF-47CE-AD24-56F91D2C7B76}">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BF24623D-0F6A-4186-9E04-FEEF8422F975}">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34B3F099-0D45-4EC5-B131-5B2F763746E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6D04392D-9326-4B55-BC06-AC6CB3B52CE7}">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943A43B3-943E-4F6C-BE72-873772D18D2D}">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608A52EE-A37E-4C31-90EF-3CC664FF8F4F}">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A61CAA25-D821-4F28-B2F0-972E91B798EF}">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449E1F86-B496-421D-819F-CB9B68AFEE89}">
      <text>
        <r>
          <rPr>
            <sz val="8"/>
            <color indexed="81"/>
            <rFont val="Tahoma"/>
            <family val="2"/>
          </rPr>
          <t xml:space="preserve">מבנה תאריך :
    dd/mm/yyyy
</t>
        </r>
      </text>
    </comment>
    <comment ref="AA20" authorId="0" shapeId="0" xr:uid="{A71E100A-BBEE-484B-B4DF-50DE4B90A403}">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9F9221BE-84E4-414C-982A-CB6FE43BA8D8}">
      <text>
        <r>
          <rPr>
            <sz val="8"/>
            <color indexed="81"/>
            <rFont val="Tahoma"/>
            <family val="2"/>
          </rPr>
          <t xml:space="preserve">מבנה תאריך :
    dd/mm/yyyy
</t>
        </r>
      </text>
    </comment>
    <comment ref="AA21" authorId="0" shapeId="0" xr:uid="{A2C4112F-788F-4594-A7E8-66A2A6A357EC}">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9450A746-F644-4807-8EF0-6F36A41EB170}">
      <text>
        <r>
          <rPr>
            <sz val="8"/>
            <color indexed="81"/>
            <rFont val="Tahoma"/>
            <family val="2"/>
          </rPr>
          <t xml:space="preserve">מבנה תאריך :
    dd/mm/yyyy
</t>
        </r>
      </text>
    </comment>
    <comment ref="BC24" authorId="0" shapeId="0" xr:uid="{8CB69C23-86C2-4BD2-AA84-59AACA8804BA}">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C7AB5A23-8A81-410A-8932-75DB6D097F4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A95EB10A-2DF2-44C4-A4EE-698835F7ECBB}">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19C827B2-7A4E-48A4-A02F-28FC91A45A5A}">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4CC09F0F-5787-401A-9578-64F6C80710E5}">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C3401F55-DA66-4B82-A9C2-431A4A17A64B}">
      <text>
        <r>
          <rPr>
            <sz val="8"/>
            <color indexed="81"/>
            <rFont val="Tahoma"/>
            <family val="2"/>
          </rPr>
          <t xml:space="preserve"> 
     בטבלה יופיעו נתונים
     רק לאחר  שתקליד מספר      חודשי חל"ת לרכישה!
 (בתא שמעל)
</t>
        </r>
      </text>
    </comment>
    <comment ref="BK39" authorId="0" shapeId="0" xr:uid="{D36DB885-005E-431D-AC7E-2764E01BCED6}">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618816B1-8B20-412C-A61F-16BE296E2D87}">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AF3D1C99-0AEE-4544-BAC6-2080F5E1A63D}">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92949A6D-B0AB-4281-8473-F615A7746F92}">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B434B73E-28E4-4C0D-804A-8FA21C50F605}">
      <text>
        <r>
          <rPr>
            <sz val="8"/>
            <color indexed="81"/>
            <rFont val="Tahoma"/>
            <family val="2"/>
          </rPr>
          <t xml:space="preserve">
 מועד הפרישה כפי 
 שהקשת בסימולטור
</t>
        </r>
      </text>
    </comment>
    <comment ref="AA44" authorId="0" shapeId="0" xr:uid="{CC98216B-C733-4847-BF19-C377890638BF}">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EB3129FA-A73B-4C43-B42D-FB76F10B618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C82C99FB-9F66-4DC5-BC51-2C7DAE0E98C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6C8EB774-5771-4AF0-B896-AB246D6DC04F}">
      <text>
        <r>
          <rPr>
            <sz val="8"/>
            <color indexed="81"/>
            <rFont val="Tahoma"/>
            <family val="2"/>
          </rPr>
          <t xml:space="preserve">
   משמש  לחישוב מענק יובל  
</t>
        </r>
      </text>
    </comment>
    <comment ref="BF64" authorId="0" shapeId="0" xr:uid="{E6E61264-EAAD-4E44-9354-92BDBB037214}">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1FC69DC0-B715-48C9-9B24-45986740A6C4}">
      <text>
        <r>
          <rPr>
            <sz val="8"/>
            <color indexed="81"/>
            <rFont val="Tahoma"/>
            <family val="2"/>
          </rPr>
          <t xml:space="preserve">יכלל כרכיב לפנסיה 
 רק למורה  שחינך בשנה אחרונה שלפני הפרישה
</t>
        </r>
      </text>
    </comment>
    <comment ref="BF66" authorId="0" shapeId="0" xr:uid="{1929F679-18FB-4B72-951A-0D778629A6FD}">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16711B35-333E-4473-9F25-92A579E99EB1}">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57F9ECF7-92F3-4AAB-B271-6086EF7423E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280CAD6F-7599-4914-8BA0-E3882795833B}">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D51E2DC-F8E8-4AF5-9F44-0114086841FC}">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468E99DC-97D9-4EC0-AD44-B8ACD5BB21BB}">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D17C410E-23F4-442B-BF57-415ABD30C623}">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6CE2F0A0-12D1-4B83-B420-AD1BF062879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C0DD6151-9C20-4CDD-A07D-6CF05306EC58}">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6EDD6AC1-6F57-4946-883E-B8D7DF31A6C4}">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B48A96EB-ED43-4E4D-8C03-45F7ABD98E06}">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FC45E1D4-BD0E-4E5B-90FA-66FD32E01EAB}">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129A582C-328C-49E5-BDE3-8110BAC4BFA7}">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DA1057E4-EAB1-4F6D-997B-9C6F08D1DB7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8F587CF7-7B30-4B05-9654-2C9CED0BC54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E18CAD86-EC22-40E8-9D51-69902EDCE475}">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2DC50FB2-7DED-4F24-A92E-B4044C36D53F}">
      <text>
        <r>
          <rPr>
            <sz val="8"/>
            <color indexed="81"/>
            <rFont val="Tahoma"/>
            <family val="2"/>
          </rPr>
          <t xml:space="preserve">
הדרגה שקבלת  מיד עם
כניסתך  לאופק חדש  , בעת 
בצוע ההמרה !
</t>
        </r>
      </text>
    </comment>
    <comment ref="I163" authorId="0" shapeId="0" xr:uid="{A7E25115-2440-459D-A615-ADA57275E192}">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4E0A3A07-07AE-4C1C-AC43-713942AE5E64}">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F2B46840-DE7A-4743-A1DE-18896564B68F}">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264AF2AC-46EA-470D-B6B4-0ABFF9B79D1B}">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D1AACFF0-E287-4689-A86E-8AB3A1FB657A}">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CB13B6F6-81C6-483C-9C7D-9661D7FF379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2AC12FD7-26FE-4594-BACB-51DF90DB049E}">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8B2F44F-AA53-4838-AC37-47549C16CA1B}">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12F0FA3D-7F1B-454F-AC0D-5A3775DB88F4}">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A40E5BED-7E8C-47CC-8511-5FADA7FC38A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1B72A479-89A0-4CED-BB55-FD2F88059572}">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E8A853AE-2E4F-43C8-AB4A-D01D7CF2277A}">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0EC2105B-D856-496C-B60B-CA2A567B9B9B}">
      <text>
        <r>
          <rPr>
            <sz val="8"/>
            <color indexed="81"/>
            <rFont val="Tahoma"/>
            <family val="2"/>
          </rPr>
          <t xml:space="preserve"> 
     בטבלה יופיעו נתונים
     רק לאחר  שתקליד מספר      חודשי חל"ת לרכישה!
 (בתא  H7)
</t>
        </r>
      </text>
    </comment>
    <comment ref="G183" authorId="0" shapeId="0" xr:uid="{FF45ACE9-0BA8-47A3-8CFD-CDDC5F8CE43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43328507-67DF-4DB5-B3B6-D0B04F4E227B}">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8F5A8697-861E-417D-9D33-C5BCCCF472B7}">
      <text>
        <r>
          <rPr>
            <b/>
            <sz val="8"/>
            <color indexed="81"/>
            <rFont val="Tahoma"/>
            <family val="2"/>
          </rPr>
          <t xml:space="preserve">
סכום חד פעמי שתקבל  עם פרישתך  (החישוב  במסלול 
פריסה  ועפ"י מדרגות מס    
       נוכחיות )</t>
        </r>
      </text>
    </comment>
    <comment ref="G201" authorId="0" shapeId="0" xr:uid="{8EAEC8AC-B029-47CD-B2A8-A6E48EE591A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4AC9F238-2BC9-4463-8D02-9F7CE8C098D6}">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B7265EEC-50F1-4DDE-A6F2-DF9BEDDFB7E5}">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7BDA0310-6C44-4532-8DCD-D8B5C034E764}">
      <text>
        <r>
          <rPr>
            <sz val="8"/>
            <color indexed="81"/>
            <rFont val="Tahoma"/>
            <family val="2"/>
          </rPr>
          <t xml:space="preserve">אם קבלת ערב הרפורמה 
אזי   החישוב  כדלקמן:
  43%   
  כפול שיעור המשרה בהדרכה               ערב הפרישה      
</t>
        </r>
      </text>
    </comment>
    <comment ref="D231" authorId="0" shapeId="0" xr:uid="{A1416072-6EE2-471F-8BDE-DC8DD95070DE}">
      <text>
        <r>
          <rPr>
            <sz val="8"/>
            <color indexed="81"/>
            <rFont val="Tahoma"/>
            <family val="2"/>
          </rPr>
          <t xml:space="preserve">שיעור גמול חינוך מיוחד 
במועד הפרישה
באחוזים   מוכפל 
בשעור המשרה ערב הפרישה
</t>
        </r>
      </text>
    </comment>
    <comment ref="O705" authorId="0" shapeId="0" xr:uid="{17D09339-95A8-4FB4-9FF9-8A376FEA3644}">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85F1A84D-B5ED-4829-9F8D-4A5612DE962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1F999A28-F5FA-4DDF-83AE-E571A532DF01}">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66BA8E1C-4B70-4696-B7AD-059CC98FF9C4}">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CBCFB28F-AEB6-467A-9858-456577A0B0A7}">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3F9C411-726D-429D-B477-5AC9E6F4FCF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6541A1A6-1F2D-46FA-BC0D-4F13E7279E9F}">
      <text>
        <r>
          <rPr>
            <sz val="8"/>
            <color indexed="81"/>
            <rFont val="Tahoma"/>
            <family val="2"/>
          </rPr>
          <t xml:space="preserve">מבנה תאריך :
    dd/mm/yyyy
</t>
        </r>
      </text>
    </comment>
    <comment ref="AL723" authorId="0" shapeId="0" xr:uid="{A0C48CF6-33CF-4515-875A-B68BD661754E}">
      <text>
        <r>
          <rPr>
            <sz val="8"/>
            <color indexed="81"/>
            <rFont val="Tahoma"/>
            <family val="2"/>
          </rPr>
          <t xml:space="preserve">מבנה תאריך :
    dd/mm/yyyy
</t>
        </r>
      </text>
    </comment>
    <comment ref="V724" authorId="0" shapeId="0" xr:uid="{83B07B24-236E-42B8-AA8A-A011A2002D91}">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1EAACEE3-BE64-48C8-BBE9-019948D7B9DC}">
      <text>
        <r>
          <rPr>
            <sz val="8"/>
            <color indexed="81"/>
            <rFont val="Tahoma"/>
            <family val="2"/>
          </rPr>
          <t xml:space="preserve">מבנה תאריך :
    dd/mm/yyyy
</t>
        </r>
      </text>
    </comment>
    <comment ref="AX734" authorId="0" shapeId="0" xr:uid="{998FBDE0-51DF-4BEA-954A-B47CFB2070FD}">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8342A974-3236-4110-BBE3-0CFD638A000D}">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5F46B19C-4CF5-4745-AD74-88D9CB42AE5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5CC36FC-8324-4707-887C-377A0BD7100F}">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E69DA442-7AF4-46EF-B127-E3616C665908}">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F3B551F9-EB50-452B-9698-F679569E01A6}">
      <text>
        <r>
          <rPr>
            <sz val="8"/>
            <color indexed="81"/>
            <rFont val="Tahoma"/>
            <family val="2"/>
          </rPr>
          <t xml:space="preserve"> 
     בטבלה יופיעו נתונים
     רק לאחר  שתקליד מספר      חודשי חל"ת לרכישה!
 (בתא שמעל)
</t>
        </r>
      </text>
    </comment>
    <comment ref="BF749" authorId="0" shapeId="0" xr:uid="{FFE33C0B-F0A8-4366-909F-8CAD77BC113C}">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5E9D1C89-43AF-4DE8-82F6-BFEFD42E72C6}">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744D871C-3C02-4A49-9ED2-A6724368D76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54950136-8117-4984-993F-F3726005DDD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A2DB07F1-8247-4C29-89F8-30CDCEB3D5B3}">
      <text>
        <r>
          <rPr>
            <sz val="8"/>
            <color indexed="81"/>
            <rFont val="Tahoma"/>
            <family val="2"/>
          </rPr>
          <t xml:space="preserve">
 מועד הפרישה כפי 
 שהקשת בסימולטור
</t>
        </r>
      </text>
    </comment>
    <comment ref="V754" authorId="0" shapeId="0" xr:uid="{458D5B55-5114-4C71-AF00-05580C90BF11}">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0A8BC0FF-E689-4AE1-8C60-F9AEDE134DDB}">
      <text>
        <r>
          <rPr>
            <sz val="8"/>
            <color indexed="81"/>
            <rFont val="Tahoma"/>
            <family val="2"/>
          </rPr>
          <t xml:space="preserve">
   משמש  לחישוב מענק יובל  
</t>
        </r>
      </text>
    </comment>
    <comment ref="BA774" authorId="0" shapeId="0" xr:uid="{17B997DE-0ED3-4F54-846D-2A3E24E76C9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7073F030-1CD2-4051-96CC-825C0579DC7E}">
      <text>
        <r>
          <rPr>
            <sz val="8"/>
            <color indexed="81"/>
            <rFont val="Tahoma"/>
            <family val="2"/>
          </rPr>
          <t xml:space="preserve">יכלל כרכיב לפנסיה 
 רק למורה  שחינך בשנה אחרונה שלפני הפרישה
</t>
        </r>
      </text>
    </comment>
    <comment ref="H776" authorId="0" shapeId="0" xr:uid="{CBDC35BC-C6B7-43F9-9F62-A499A321DFE5}">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45636A89-AE0B-4CC0-9079-493207B69BE2}">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A36B90F7-2415-4CF2-8D13-412BB8D4DEF3}">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8AF636F7-67A4-4117-A885-D6BE51578A22}">
      <text>
        <r>
          <rPr>
            <b/>
            <sz val="8"/>
            <color indexed="81"/>
            <rFont val="Tahoma"/>
            <family val="2"/>
          </rPr>
          <t xml:space="preserve"> סכומים אלו  צריכים 
להתאים לתלוש השכר ממנו הזנת את הנתונים </t>
        </r>
      </text>
    </comment>
    <comment ref="BA778" authorId="0" shapeId="0" xr:uid="{B78684FF-68CD-4768-8679-0402FBA12122}">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41E296A4-98BA-47B5-93C3-1EDFF6651244}">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AD1B4C1-7467-4D6F-9A61-82900875371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C5D461CF-BFCB-410F-9329-3B08A7D23FBA}">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88108264-928C-4C3E-8151-540A825A3951}">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1E1A8BF5-AAAD-4348-AE31-92C3188F6D5D}">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2FD48450-BCC3-4F8E-98E5-E3E3DACC1DC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EF39DF71-6BE6-4EE2-90DB-4155DF860F0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4B189235-B9D4-43C1-ACEC-67A44C31AC47}">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809B0399-CD54-4ADC-91B8-A8AD269A4AA5}">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CD5D1610-44EC-4F82-8514-9B5E306BCC2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79A6D655-2615-4BAE-9847-3EA585C42BDD}">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629F2EE3-3175-430D-8039-0523741E0D66}">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7AD004F4-DA23-44EC-905E-6BF55A49DA6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98A78EF2-06C9-43E4-ACEB-D888FA1A5FDF}">
      <text>
        <r>
          <rPr>
            <b/>
            <sz val="8"/>
            <color indexed="81"/>
            <rFont val="Tahoma"/>
            <family val="2"/>
          </rPr>
          <t xml:space="preserve">
סכום חד פעמי שתקבל  עם פרישתך  (החישוב  במסלול 
פריסה  ועפ"י מדרגות מס    
       נוכחיות )</t>
        </r>
      </text>
    </comment>
    <comment ref="F911" authorId="0" shapeId="0" xr:uid="{613D5487-76CD-4DC2-8712-ECA13DEAE58C}">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3940458F-435B-4DF8-998C-D6B1C4DA11DE}">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262DB7D0-807C-4D0D-8D17-C05022C88536}">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6C893C8D-70E7-4C8F-BC69-3963927537A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41C3F1FD-3244-49AA-A39B-B4C7C9349A1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AD608461-91B4-4648-9F98-80C5973F606B}">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15FC7311-61DB-4612-B8A4-40F03076DE0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DE3EA23D-8677-47B9-B35F-2D59018E4D97}">
      <text>
        <r>
          <rPr>
            <sz val="8"/>
            <color indexed="81"/>
            <rFont val="Tahoma"/>
            <family val="2"/>
          </rPr>
          <t xml:space="preserve">שיעור גמול חינוך מיוחד 
במועד הפרישה
באחוזים   מוכפל 
בשעור המשרה ערב הפרישה
</t>
        </r>
      </text>
    </comment>
    <comment ref="G960" authorId="0" shapeId="0" xr:uid="{A7E9211C-5A46-421B-BD57-BEA6BCB857D8}">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F3D16163-CFE6-4D69-BFCF-795D2638D1E1}">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18463467-7A2F-44D8-A6BE-653C4E80847E}">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E11AE170-6504-47DD-9949-D2C73E0C14A6}">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C335D8BC-EFE0-4C99-A950-21C9AAA6FC9B}">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F14CD9A-AB01-4F5E-9A34-EE5FD0FB183D}">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B4200447-4D65-413D-8563-1A6866C8EE58}">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70A22C55-7C72-4995-9EB8-6A92A198B572}">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5C37D2A6-AB2E-485F-A62C-007D515E86C1}">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90F39F5-6AB6-4C85-A896-6D9FD2D6B66F}">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6F9C3F87-8F4D-4BDA-9F53-71115867F43C}">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D90EB5C0-99F1-4974-8BA8-CDD90E998C2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F1E52C90-829D-43A6-BF9E-15BE061A3179}">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A465BA67-1128-48B5-A0B8-F4E96B6FF1E3}">
      <text>
        <r>
          <rPr>
            <b/>
            <sz val="8"/>
            <color indexed="81"/>
            <rFont val="Tahoma"/>
            <family val="2"/>
          </rPr>
          <t xml:space="preserve"> סכומים אלו  צריכים 
להתאים לתלוש השכר ממנו הזנת את הנתונים </t>
        </r>
      </text>
    </comment>
    <comment ref="O6" authorId="0" shapeId="0" xr:uid="{97C0FAF4-78DC-45B8-9CC3-D3B45E73DB38}">
      <text>
        <r>
          <rPr>
            <b/>
            <sz val="8"/>
            <color indexed="81"/>
            <rFont val="Tahoma"/>
            <family val="2"/>
          </rPr>
          <t xml:space="preserve"> סכומים אלו  צריכים 
להתאים לתלוש השכר ממנו הזנת את הנתונים </t>
        </r>
      </text>
    </comment>
    <comment ref="I7" authorId="0" shapeId="0" xr:uid="{8BA22D17-E6FB-4385-8F88-A22B4E5EEA34}">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F7D31681-E4C7-4CD8-94EF-DD9167335029}">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CF2993A4-C476-4177-A4A4-15DC648D8A92}">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51655FA9-3744-4921-BC6D-B8ACC1A6AFF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54D31F92-6643-460D-BC02-42FA96B3E0C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21BE25CC-A8E2-425B-BF7A-C80387A03EA7}">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2D87385C-6389-42F7-9506-AEBB023924E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7BC8588F-2139-4356-AA74-6D74D449BE8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AB8ACFAD-BEFE-4ADF-924A-2E0A2F984A79}">
      <text>
        <r>
          <rPr>
            <sz val="8"/>
            <color indexed="81"/>
            <rFont val="Tahoma"/>
            <family val="2"/>
          </rPr>
          <t xml:space="preserve">מבנה תאריך :
    dd/mm/yyyy
</t>
        </r>
      </text>
    </comment>
    <comment ref="AA20" authorId="0" shapeId="0" xr:uid="{8F02D313-CF83-4665-B2D4-135ECFFD66A9}">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A7AEC164-D39D-4DE5-B0C7-9C00EEFE1C0D}">
      <text>
        <r>
          <rPr>
            <sz val="8"/>
            <color indexed="81"/>
            <rFont val="Tahoma"/>
            <family val="2"/>
          </rPr>
          <t xml:space="preserve">מבנה תאריך :
    dd/mm/yyyy
</t>
        </r>
      </text>
    </comment>
    <comment ref="AA21" authorId="0" shapeId="0" xr:uid="{9E91A902-66D5-4272-9064-B965E24C669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3BC50C73-A0CF-454B-9D43-A015B746220A}">
      <text>
        <r>
          <rPr>
            <sz val="8"/>
            <color indexed="81"/>
            <rFont val="Tahoma"/>
            <family val="2"/>
          </rPr>
          <t xml:space="preserve">מבנה תאריך :
    dd/mm/yyyy
</t>
        </r>
      </text>
    </comment>
    <comment ref="BC24" authorId="0" shapeId="0" xr:uid="{00726B9E-208A-4A49-AA5E-9E8E8B29BF5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A08482F6-6BB9-48E6-9B7B-892A4BB42F3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066F344E-D0C9-4E34-B7CA-DB26D79C612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05378102-DC8D-4CA1-860B-6F9955426D2B}">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B5CFE950-F6C0-4981-ABB1-581A821493B1}">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6BDAA8E5-E9D9-43C4-958E-F661A12F60DB}">
      <text>
        <r>
          <rPr>
            <sz val="8"/>
            <color indexed="81"/>
            <rFont val="Tahoma"/>
            <family val="2"/>
          </rPr>
          <t xml:space="preserve"> 
     בטבלה יופיעו נתונים
     רק לאחר  שתקליד מספר      חודשי חל"ת לרכישה!
 (בתא שמעל)
</t>
        </r>
      </text>
    </comment>
    <comment ref="BK39" authorId="0" shapeId="0" xr:uid="{01335268-8420-402B-A32E-55200558A9F8}">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D4485E90-4C6C-4F96-964C-A8D191D4069A}">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93B2B54A-42AF-4D6F-AC4C-EA42A67321F6}">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40F59CE4-4DE9-4B7E-9BDF-8423C3608117}">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4A6045C9-AC61-4DDE-BC20-2872C085910E}">
      <text>
        <r>
          <rPr>
            <sz val="8"/>
            <color indexed="81"/>
            <rFont val="Tahoma"/>
            <family val="2"/>
          </rPr>
          <t xml:space="preserve">
 מועד הפרישה כפי 
 שהקשת בסימולטור
</t>
        </r>
      </text>
    </comment>
    <comment ref="AA44" authorId="0" shapeId="0" xr:uid="{FB9B3645-650A-4697-B9FC-BAE9C0C81DC6}">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1830FB93-C759-4897-8352-832D00CCBF1F}">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5562C061-E9AE-4457-8589-67856D56D86A}">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D85556C9-BAA7-4E6C-B451-E16E59BBBA04}">
      <text>
        <r>
          <rPr>
            <sz val="8"/>
            <color indexed="81"/>
            <rFont val="Tahoma"/>
            <family val="2"/>
          </rPr>
          <t xml:space="preserve">
   משמש  לחישוב מענק יובל  
</t>
        </r>
      </text>
    </comment>
    <comment ref="BF64" authorId="0" shapeId="0" xr:uid="{971B12D4-42FE-4DFE-8E65-E1AAC8EDCA6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4F91752D-E24B-4755-BA6C-18C1F8B31347}">
      <text>
        <r>
          <rPr>
            <sz val="8"/>
            <color indexed="81"/>
            <rFont val="Tahoma"/>
            <family val="2"/>
          </rPr>
          <t xml:space="preserve">יכלל כרכיב לפנסיה 
 רק למורה  שחינך בשנה אחרונה שלפני הפרישה
</t>
        </r>
      </text>
    </comment>
    <comment ref="BF66" authorId="0" shapeId="0" xr:uid="{53B0E4D3-B858-4CE2-8E0D-21A345B3A67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E18A528D-424F-4FD3-A236-2414EF55C13C}">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787EE789-664B-444E-ABBF-6E2C16177295}">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14072264-4E75-4334-B9EC-06F75C2B4E3F}">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14AED39-0E80-435B-B18E-8F0FECEAEEB6}">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EEA5C76B-6420-4B37-A728-2E89E245EFC9}">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88C0C5C6-0B9A-4F59-ABDC-B11A4951C9A1}">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C84781EA-7059-4067-8555-7F1C329D05F9}">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9B39504B-49F3-4BBD-AE24-34424D1704B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C8CBC58D-2A36-43B8-9C9C-D8EDAF2FBF9D}">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91FB7BE0-8338-4379-B4AD-8B487A4BDB71}">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556CB070-3059-4E87-A0FF-8F7BB70375F8}">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AC2D1505-E141-4B86-A915-B52AC2252A2A}">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346D01CF-E71C-4130-8BD6-FA43B240D3A8}">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4F70ABA1-061E-4090-B14C-569B2B443DF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8D280660-EBFB-4136-9F74-2139C0D123AB}">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533DBE82-E09C-4DE3-8958-820C3EADDAF9}">
      <text>
        <r>
          <rPr>
            <sz val="8"/>
            <color indexed="81"/>
            <rFont val="Tahoma"/>
            <family val="2"/>
          </rPr>
          <t xml:space="preserve">
הדרגה שקבלת  מיד עם
כניסתך  לאופק חדש  , בעת 
בצוע ההמרה !
</t>
        </r>
      </text>
    </comment>
    <comment ref="I163" authorId="0" shapeId="0" xr:uid="{FF4AAF18-BAED-4464-B3A3-B5CEC0A4AB24}">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CDD9DFB8-6C97-49DA-84C1-F60C28AEB3A6}">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7EBB62B2-7EDD-4E38-A95F-20B2C9527F77}">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7D5CF07E-B50D-41F7-B2B8-832E91046354}">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C88D9311-09FF-4C7A-BA3D-E3739AB6C153}">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F818979E-5455-4828-B9F6-D539028E57F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A18FE337-4415-43EB-A28C-FFC2FE5B3289}">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F189864-5842-454F-ABEF-76D783E84BE4}">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6F82EC4D-3BD8-4B62-89C7-A3815319FE6A}">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C043C86B-CE09-4330-8D59-34F854ECBE7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FD022DE5-84D1-4644-9602-5722146E0C46}">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C40D2133-4698-4DD9-82A6-E1210540C2A9}">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26491CA6-F82D-4C4E-8BFB-7FA6D5DA2937}">
      <text>
        <r>
          <rPr>
            <sz val="8"/>
            <color indexed="81"/>
            <rFont val="Tahoma"/>
            <family val="2"/>
          </rPr>
          <t xml:space="preserve"> 
     בטבלה יופיעו נתונים
     רק לאחר  שתקליד מספר      חודשי חל"ת לרכישה!
 (בתא  H7)
</t>
        </r>
      </text>
    </comment>
    <comment ref="G183" authorId="0" shapeId="0" xr:uid="{4455F3CE-8189-406F-AE41-298867671831}">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F198C005-A5F1-4D1B-9391-6CE3C36984F5}">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04EC0C62-8A1C-4C0D-BB5F-A948A23BC032}">
      <text>
        <r>
          <rPr>
            <b/>
            <sz val="8"/>
            <color indexed="81"/>
            <rFont val="Tahoma"/>
            <family val="2"/>
          </rPr>
          <t xml:space="preserve">
סכום חד פעמי שתקבל  עם פרישתך  (החישוב  במסלול 
פריסה  ועפ"י מדרגות מס    
       נוכחיות )</t>
        </r>
      </text>
    </comment>
    <comment ref="G201" authorId="0" shapeId="0" xr:uid="{ED6E46F2-D84F-4F3C-B19D-BB4CC34FCA0B}">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85E610F3-B2EC-4BCE-BF8B-1611A6A55A79}">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E076027F-8BFD-4EE5-86E9-411D67B2B038}">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282AB1CD-244A-4AE3-B87A-92422A6BCB83}">
      <text>
        <r>
          <rPr>
            <sz val="8"/>
            <color indexed="81"/>
            <rFont val="Tahoma"/>
            <family val="2"/>
          </rPr>
          <t xml:space="preserve">אם קבלת ערב הרפורמה 
אזי   החישוב  כדלקמן:
  43%   
  כפול שיעור המשרה בהדרכה               ערב הפרישה      
</t>
        </r>
      </text>
    </comment>
    <comment ref="D231" authorId="0" shapeId="0" xr:uid="{724D3ABD-FE35-4229-8213-358697D25D55}">
      <text>
        <r>
          <rPr>
            <sz val="8"/>
            <color indexed="81"/>
            <rFont val="Tahoma"/>
            <family val="2"/>
          </rPr>
          <t xml:space="preserve">שיעור גמול חינוך מיוחד 
במועד הפרישה
באחוזים   מוכפל 
בשעור המשרה ערב הפרישה
</t>
        </r>
      </text>
    </comment>
    <comment ref="O705" authorId="0" shapeId="0" xr:uid="{FC59CED2-6CED-4853-9118-FA8DA030D30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35390586-4E8D-4950-BE10-DBCCBF092E58}">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AE347E3E-CE21-45BB-AE55-12B24AE7D706}">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EA3310FE-4E54-420E-A728-CE8AFEA00588}">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1A0A21BB-A8EE-4708-9F84-814B951DC935}">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AB79B98-6007-44A9-BEE5-C740E4568158}">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09AE966C-1B1B-40F6-8387-BF95B3AF18ED}">
      <text>
        <r>
          <rPr>
            <sz val="8"/>
            <color indexed="81"/>
            <rFont val="Tahoma"/>
            <family val="2"/>
          </rPr>
          <t xml:space="preserve">מבנה תאריך :
    dd/mm/yyyy
</t>
        </r>
      </text>
    </comment>
    <comment ref="AL723" authorId="0" shapeId="0" xr:uid="{9348E78C-22A0-4843-8428-322656C20CD0}">
      <text>
        <r>
          <rPr>
            <sz val="8"/>
            <color indexed="81"/>
            <rFont val="Tahoma"/>
            <family val="2"/>
          </rPr>
          <t xml:space="preserve">מבנה תאריך :
    dd/mm/yyyy
</t>
        </r>
      </text>
    </comment>
    <comment ref="V724" authorId="0" shapeId="0" xr:uid="{B9368F3B-9B4E-4BFC-B7BF-9FB7EB77474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226B82B9-F029-4B11-BDB5-6BA11063B197}">
      <text>
        <r>
          <rPr>
            <sz val="8"/>
            <color indexed="81"/>
            <rFont val="Tahoma"/>
            <family val="2"/>
          </rPr>
          <t xml:space="preserve">מבנה תאריך :
    dd/mm/yyyy
</t>
        </r>
      </text>
    </comment>
    <comment ref="AX734" authorId="0" shapeId="0" xr:uid="{D5A4D7EE-942D-4B4B-AF9D-2F0F8B78D36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12B14CC1-C995-40AF-B92E-A47AB5CEA804}">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E4D82276-DCFD-49D2-B91E-291809B7DCE9}">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F0999FB-0B12-4448-B228-64F265F683ED}">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915EA773-5580-49CD-A1B8-0F476E34B61C}">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62F287F6-F0A2-4A65-8ED8-E0E6FA9177BA}">
      <text>
        <r>
          <rPr>
            <sz val="8"/>
            <color indexed="81"/>
            <rFont val="Tahoma"/>
            <family val="2"/>
          </rPr>
          <t xml:space="preserve"> 
     בטבלה יופיעו נתונים
     רק לאחר  שתקליד מספר      חודשי חל"ת לרכישה!
 (בתא שמעל)
</t>
        </r>
      </text>
    </comment>
    <comment ref="BF749" authorId="0" shapeId="0" xr:uid="{49E3CAC0-C3BE-479B-A2ED-85AAEFBE40FA}">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F2728126-3C9B-443A-A5B2-9F69D6C1D46E}">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85773075-6324-4BFF-B4C2-FDF4DA6067C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35E86616-F52D-42D4-9843-0E0435A03A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5C34C0EC-24E9-49CE-96FD-F34D9DF8729A}">
      <text>
        <r>
          <rPr>
            <sz val="8"/>
            <color indexed="81"/>
            <rFont val="Tahoma"/>
            <family val="2"/>
          </rPr>
          <t xml:space="preserve">
 מועד הפרישה כפי 
 שהקשת בסימולטור
</t>
        </r>
      </text>
    </comment>
    <comment ref="V754" authorId="0" shapeId="0" xr:uid="{29826E66-C5A6-4A5A-817F-E6F341878C47}">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3DF85A5E-5C5B-4949-A116-C43F16BCD3A5}">
      <text>
        <r>
          <rPr>
            <sz val="8"/>
            <color indexed="81"/>
            <rFont val="Tahoma"/>
            <family val="2"/>
          </rPr>
          <t xml:space="preserve">
   משמש  לחישוב מענק יובל  
</t>
        </r>
      </text>
    </comment>
    <comment ref="BA774" authorId="0" shapeId="0" xr:uid="{71D36A9B-4424-48FF-B8BA-590A946BE22A}">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FDCF5925-36C6-45B6-90C9-540976609E49}">
      <text>
        <r>
          <rPr>
            <sz val="8"/>
            <color indexed="81"/>
            <rFont val="Tahoma"/>
            <family val="2"/>
          </rPr>
          <t xml:space="preserve">יכלל כרכיב לפנסיה 
 רק למורה  שחינך בשנה אחרונה שלפני הפרישה
</t>
        </r>
      </text>
    </comment>
    <comment ref="H776" authorId="0" shapeId="0" xr:uid="{EB791751-E379-42BE-AA3A-C423E3B52C68}">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008A3C92-AF24-47DD-96B9-209B6060425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492D1331-6633-4285-A193-1845BA91BE49}">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02A86B6C-9D56-4884-90BA-16141585D849}">
      <text>
        <r>
          <rPr>
            <b/>
            <sz val="8"/>
            <color indexed="81"/>
            <rFont val="Tahoma"/>
            <family val="2"/>
          </rPr>
          <t xml:space="preserve"> סכומים אלו  צריכים 
להתאים לתלוש השכר ממנו הזנת את הנתונים </t>
        </r>
      </text>
    </comment>
    <comment ref="BA778" authorId="0" shapeId="0" xr:uid="{78BF2C63-FB39-4703-9706-EBC032575247}">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BBD73962-3CE5-495D-BCF3-56A1EE01F091}">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34ECD51-05B3-461E-AF2C-057B1A7C082B}">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6FFB54A8-C561-47AC-BCBB-90EDA16B5664}">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73D84A80-BA5D-4DA2-A3E5-7F4D97869265}">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2186ACCF-B47A-4EDE-B4EC-A4BE369717BE}">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0FE84777-C27B-4AA9-8DCE-D2006F91690D}">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7BD857C9-9763-4687-81D2-0C6799C197E5}">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7A1A9C01-6E15-4561-90D3-FE0425B8DFDD}">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49147258-6FF1-4ED3-9791-5DA0DA4088C8}">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2C831579-BE80-43B8-B32B-109C3706B41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6F7F285C-315A-48B6-B937-01910AA2A1D4}">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AE715ABC-FFCD-4E5F-83B6-1EFA8C76A705}">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5D09BF8C-6469-4035-928C-5BAF2F69767A}">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216F4C79-F93A-48AE-B897-2426FFD69414}">
      <text>
        <r>
          <rPr>
            <b/>
            <sz val="8"/>
            <color indexed="81"/>
            <rFont val="Tahoma"/>
            <family val="2"/>
          </rPr>
          <t xml:space="preserve">
סכום חד פעמי שתקבל  עם פרישתך  (החישוב  במסלול 
פריסה  ועפ"י מדרגות מס    
       נוכחיות )</t>
        </r>
      </text>
    </comment>
    <comment ref="F911" authorId="0" shapeId="0" xr:uid="{F1106976-F702-4461-834A-8CC4EA212A23}">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5A09EDDD-1E05-4078-BE3B-9D73C4BB329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A766CD6A-1A76-4D1A-B092-302987483E0A}">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4247D98B-5990-4419-9DCC-FA6B17743B0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7C02C943-8CA4-439B-B862-59003B4F1DF7}">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29E9DEA2-9F4D-434B-AEFF-039E93AAF21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9AE27F0A-4EC4-43C0-AD26-2551E8CD14F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54BC4653-33EF-4658-831C-6E4CB68DC05C}">
      <text>
        <r>
          <rPr>
            <sz val="8"/>
            <color indexed="81"/>
            <rFont val="Tahoma"/>
            <family val="2"/>
          </rPr>
          <t xml:space="preserve">שיעור גמול חינוך מיוחד 
במועד הפרישה
באחוזים   מוכפל 
בשעור המשרה ערב הפרישה
</t>
        </r>
      </text>
    </comment>
    <comment ref="G960" authorId="0" shapeId="0" xr:uid="{7EABC6EA-01B0-430B-936C-773157FA1DA5}">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D8237441-3AB2-48C4-A419-CE333675172C}">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B4D4A366-2600-416F-AE3E-C751B88B7E41}">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74C77BAE-A378-481C-AF7D-370452FC3772}">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1ADD577B-2D85-4A6A-BFA2-C16BEF835A57}">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4F824DF-CED8-46F0-80BE-3012056642DB}">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4DE9C3C5-E877-4A8A-B248-19B94B610784}">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868B59B0-0B44-4009-836E-0A08C91FED5B}">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72FE8DB9-D4F2-43F0-B428-6EC59F2584E3}">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1DF1D7F-71BA-408E-8538-B79C3315B2E6}">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E27234FC-C8AD-4C22-B9E3-EB135015E885}">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<sst xmlns="http://schemas.openxmlformats.org/spreadsheetml/2006/main" count="2763" uniqueCount="611">
  <si>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</si>
  <si>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</si>
  <si>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</si>
  <si>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</si>
  <si>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</si>
  <si>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</si>
  <si>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</si>
  <si>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</si>
  <si>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</si>
  <si>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</si>
  <si>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</si>
  <si>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</si>
  <si>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</si>
  <si>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</si>
  <si>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</si>
  <si>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</si>
  <si>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</si>
  <si>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</si>
  <si>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</si>
  <si>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</si>
  <si>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</si>
  <si>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</si>
  <si>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</si>
  <si>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</si>
  <si>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</si>
  <si>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</si>
  <si>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</si>
  <si>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</si>
  <si>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</si>
  <si>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</si>
  <si>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</si>
  <si>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</si>
  <si>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</si>
  <si>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</si>
  <si>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</si>
  <si>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</si>
  <si>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</si>
  <si>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</si>
  <si>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</si>
  <si>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</si>
  <si>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</si>
  <si>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</si>
  <si>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</si>
  <si>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</si>
  <si>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משרה</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</si>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</sst>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5">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Border="1" applyAlignment="1" applyProtection="1">
      <alignment horizontal="center"/>
      <protection locked="0"/>
    </xf>
    <xf numFmtId="164" fontId="5" fillId="2" borderId="0" xfId="0" applyNumberFormat="1" applyFont="1" applyFill="1" applyBorder="1" applyAlignment="1" applyProtection="1">
      <alignment horizontal="center"/>
      <protection locked="0"/>
    </xf>
    <xf numFmtId="0" fontId="0" fillId="0" borderId="0" xfId="0" applyBorder="1"/>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applyAlignment="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pplyProtection="1">
      <alignment horizontal="center"/>
    </xf>
    <xf numFmtId="2" fontId="4" fillId="29" borderId="4" xfId="0" applyNumberFormat="1" applyFont="1" applyFill="1" applyBorder="1" applyAlignment="1" applyProtection="1">
      <alignment horizontal="center"/>
    </xf>
    <xf numFmtId="0" fontId="0" fillId="0" borderId="0" xfId="0" applyAlignment="1"/>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3" fillId="15" borderId="19" xfId="0" applyNumberFormat="1" applyFont="1" applyFill="1" applyBorder="1" applyAlignment="1" applyProtection="1">
      <alignment horizontal="center"/>
    </xf>
    <xf numFmtId="165" fontId="98" fillId="15" borderId="19" xfId="0" applyNumberFormat="1" applyFont="1" applyFill="1" applyBorder="1" applyAlignment="1" applyProtection="1">
      <alignment horizontal="center"/>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xr:uid="{A6A89875-C4C8-4B41-889D-73CD8B5C60CE}"/>
    <cellStyle name="Percent" xfId="1" builtinId="5"/>
    <cellStyle name="היפר-קישור" xfId="3" builtinId="8"/>
  </cellStyles>
  <dxfs count="187">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sheetData sheetId="4"/>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A916A-A594-4872-A5FE-DB44C4F28814}">
  <dimension ref="A1:BQ68"/>
  <sheetViews>
    <sheetView rightToLeft="1" zoomScaleNormal="100" workbookViewId="0">
      <selection activeCell="B11" sqref="B11"/>
    </sheetView>
  </sheetViews>
  <sheetFormatPr defaultRowHeight="14.25" x14ac:dyDescent="0.2"/>
  <cols>
    <col min="1" max="1" width="31.375" customWidth="1"/>
    <col min="3" max="3" width="29.25" customWidth="1"/>
    <col min="4" max="4" width="29.375" customWidth="1"/>
    <col min="5" max="5" width="18.25" customWidth="1"/>
    <col min="7" max="7" width="34.125" customWidth="1"/>
  </cols>
  <sheetData>
    <row r="1" spans="1:7" ht="16.5" thickTop="1" thickBot="1" x14ac:dyDescent="0.3">
      <c r="A1" s="8" t="s">
        <v>35</v>
      </c>
      <c r="B1" s="9"/>
      <c r="C1" s="34" t="s">
        <v>74</v>
      </c>
      <c r="D1" s="34"/>
      <c r="E1" s="34"/>
      <c r="F1" s="27"/>
    </row>
    <row r="2" spans="1:7" ht="15" thickTop="1" x14ac:dyDescent="0.2">
      <c r="A2" s="1" t="s">
        <v>0</v>
      </c>
      <c r="B2" s="2" t="s">
        <v>1</v>
      </c>
      <c r="C2" t="s">
        <v>24</v>
      </c>
    </row>
    <row r="3" spans="1:7" x14ac:dyDescent="0.2">
      <c r="A3" s="1" t="s">
        <v>2</v>
      </c>
      <c r="B3" s="3">
        <v>1</v>
      </c>
      <c r="C3" t="s">
        <v>47</v>
      </c>
    </row>
    <row r="4" spans="1:7" x14ac:dyDescent="0.2">
      <c r="A4" s="1" t="s">
        <v>3</v>
      </c>
      <c r="B4" s="192">
        <f>IF(B9&gt;0%,0,6%)</f>
        <v>0.06</v>
      </c>
      <c r="C4" s="22" t="s">
        <v>36</v>
      </c>
      <c r="D4" s="22" t="s">
        <v>22</v>
      </c>
    </row>
    <row r="5" spans="1:7" x14ac:dyDescent="0.2">
      <c r="A5" s="1" t="s">
        <v>4</v>
      </c>
      <c r="B5" s="193">
        <f>IF(B2=B33,8.75,IF(B2=C33,8.75,0))</f>
        <v>8.75</v>
      </c>
      <c r="C5" s="22" t="s">
        <v>36</v>
      </c>
      <c r="D5" s="22" t="s">
        <v>23</v>
      </c>
    </row>
    <row r="6" spans="1:7" x14ac:dyDescent="0.2">
      <c r="A6" s="1" t="s">
        <v>38</v>
      </c>
      <c r="B6" s="5">
        <v>1</v>
      </c>
      <c r="C6" t="s">
        <v>24</v>
      </c>
    </row>
    <row r="7" spans="1:7" x14ac:dyDescent="0.2">
      <c r="A7" s="1" t="s">
        <v>5</v>
      </c>
      <c r="B7" s="4">
        <v>0</v>
      </c>
      <c r="C7" t="s">
        <v>45</v>
      </c>
    </row>
    <row r="8" spans="1:7" x14ac:dyDescent="0.2">
      <c r="A8" s="1" t="s">
        <v>37</v>
      </c>
      <c r="B8" s="4">
        <v>0.9</v>
      </c>
      <c r="C8" t="s">
        <v>44</v>
      </c>
    </row>
    <row r="9" spans="1:7" x14ac:dyDescent="0.2">
      <c r="A9" s="6" t="s">
        <v>6</v>
      </c>
      <c r="B9" s="4">
        <v>0</v>
      </c>
      <c r="C9" t="s">
        <v>46</v>
      </c>
    </row>
    <row r="10" spans="1:7" x14ac:dyDescent="0.2">
      <c r="A10" s="6" t="s">
        <v>7</v>
      </c>
      <c r="B10" s="4" t="s">
        <v>8</v>
      </c>
      <c r="C10" t="s">
        <v>25</v>
      </c>
      <c r="E10" s="10"/>
    </row>
    <row r="11" spans="1:7" ht="15" thickBot="1" x14ac:dyDescent="0.25">
      <c r="A11" s="17" t="s">
        <v>42</v>
      </c>
      <c r="B11" s="18" t="s">
        <v>28</v>
      </c>
      <c r="C11" t="s">
        <v>43</v>
      </c>
      <c r="E11" s="10"/>
    </row>
    <row r="12" spans="1:7" ht="15.75" thickTop="1" x14ac:dyDescent="0.25">
      <c r="A12" s="14" t="s">
        <v>42</v>
      </c>
      <c r="B12" s="15">
        <v>1</v>
      </c>
      <c r="C12" t="s">
        <v>51</v>
      </c>
    </row>
    <row r="13" spans="1:7" ht="15" x14ac:dyDescent="0.25">
      <c r="A13" s="14" t="s">
        <v>30</v>
      </c>
      <c r="B13" s="15">
        <v>0.5</v>
      </c>
      <c r="C13" t="s">
        <v>50</v>
      </c>
    </row>
    <row r="14" spans="1:7" ht="15" x14ac:dyDescent="0.25">
      <c r="A14" s="14" t="s">
        <v>31</v>
      </c>
      <c r="B14" s="15">
        <v>0.5</v>
      </c>
      <c r="C14" t="s">
        <v>49</v>
      </c>
      <c r="D14" s="194" t="s">
        <v>608</v>
      </c>
      <c r="E14" s="194"/>
      <c r="F14" s="194"/>
      <c r="G14" s="194"/>
    </row>
    <row r="15" spans="1:7" ht="15.75" thickBot="1" x14ac:dyDescent="0.3">
      <c r="A15" s="16"/>
      <c r="B15" s="16"/>
      <c r="C15" s="16"/>
      <c r="D15" s="13" t="s">
        <v>40</v>
      </c>
      <c r="E15" s="197">
        <v>0</v>
      </c>
      <c r="F15" s="198">
        <f>($E$15/24)+AX44</f>
        <v>0</v>
      </c>
      <c r="G15" s="11" t="s">
        <v>30</v>
      </c>
    </row>
    <row r="16" spans="1:7" ht="15.75" thickBot="1" x14ac:dyDescent="0.3">
      <c r="D16" s="13" t="s">
        <v>41</v>
      </c>
      <c r="E16" s="197">
        <v>25</v>
      </c>
      <c r="F16" s="198">
        <f>$E$16/30+AX45</f>
        <v>0.93333333333333335</v>
      </c>
      <c r="G16" s="11" t="s">
        <v>31</v>
      </c>
    </row>
    <row r="17" spans="1:69" x14ac:dyDescent="0.2">
      <c r="A17" s="6" t="s">
        <v>39</v>
      </c>
      <c r="C17" s="208"/>
      <c r="D17" s="208"/>
      <c r="E17" s="208"/>
    </row>
    <row r="18" spans="1:69" x14ac:dyDescent="0.2">
      <c r="C18" s="19"/>
      <c r="D18" s="19"/>
      <c r="E18" s="19"/>
      <c r="F18" s="6"/>
      <c r="H18" s="10"/>
    </row>
    <row r="19" spans="1:69" x14ac:dyDescent="0.2">
      <c r="A19" t="s">
        <v>48</v>
      </c>
      <c r="C19" s="19"/>
      <c r="D19" s="19"/>
      <c r="E19" s="19"/>
      <c r="F19" s="6"/>
      <c r="H19" s="10"/>
    </row>
    <row r="20" spans="1:69" ht="15" thickBot="1" x14ac:dyDescent="0.25">
      <c r="A20" s="7" t="s">
        <v>33</v>
      </c>
      <c r="B20" s="195">
        <v>0</v>
      </c>
      <c r="C20" s="19" t="s">
        <v>34</v>
      </c>
      <c r="D20" s="19"/>
      <c r="E20" s="19"/>
    </row>
    <row r="21" spans="1:69" ht="15" thickTop="1" x14ac:dyDescent="0.2">
      <c r="A21" s="6" t="s">
        <v>32</v>
      </c>
      <c r="B21" s="196">
        <v>0</v>
      </c>
      <c r="C21" s="19"/>
      <c r="D21" s="20"/>
      <c r="E21" s="19"/>
    </row>
    <row r="22" spans="1:69" x14ac:dyDescent="0.2">
      <c r="C22" s="19"/>
      <c r="D22" s="19"/>
      <c r="E22" s="19"/>
    </row>
    <row r="23" spans="1:69" x14ac:dyDescent="0.2">
      <c r="C23" s="19"/>
      <c r="D23" s="21"/>
      <c r="E23" s="21"/>
      <c r="F23" s="12"/>
    </row>
    <row r="24" spans="1:69" x14ac:dyDescent="0.2">
      <c r="B24" s="12"/>
      <c r="C24" s="19"/>
      <c r="D24" s="21"/>
      <c r="E24" s="21"/>
      <c r="F24" s="12"/>
    </row>
    <row r="25" spans="1:69" x14ac:dyDescent="0.2">
      <c r="A25" s="12"/>
      <c r="B25" s="12"/>
      <c r="C25" s="21"/>
      <c r="D25" s="21"/>
      <c r="E25" s="21"/>
      <c r="F25" s="12"/>
    </row>
    <row r="26" spans="1:69" x14ac:dyDescent="0.2">
      <c r="C26" s="21"/>
      <c r="D26" s="19"/>
      <c r="E26" s="19"/>
      <c r="J26" s="199"/>
      <c r="K26" s="199"/>
      <c r="L26" s="199"/>
      <c r="M26" s="199"/>
      <c r="N26" s="199"/>
      <c r="O26" s="199"/>
      <c r="P26" s="199"/>
      <c r="Q26" s="199"/>
      <c r="R26" s="199"/>
      <c r="S26" s="199"/>
      <c r="T26" s="199"/>
      <c r="U26" s="199"/>
      <c r="V26" s="199"/>
      <c r="W26" s="199"/>
      <c r="X26" s="199"/>
      <c r="Y26" s="199"/>
      <c r="Z26" s="199"/>
      <c r="AA26" s="199"/>
      <c r="AB26" s="199"/>
      <c r="AC26" s="199"/>
      <c r="AD26" s="199"/>
      <c r="AE26" s="199"/>
      <c r="AF26" s="199"/>
      <c r="AG26" s="199"/>
      <c r="AH26" s="199"/>
      <c r="AI26" s="199"/>
      <c r="AJ26" s="199"/>
      <c r="AK26" s="199"/>
      <c r="AL26" s="199"/>
      <c r="AM26" s="199"/>
      <c r="AN26" s="199"/>
      <c r="AO26" s="199"/>
      <c r="AP26" s="199"/>
      <c r="AQ26" s="199"/>
      <c r="AR26" s="199"/>
      <c r="AS26" s="199"/>
      <c r="AT26" s="199"/>
      <c r="AU26" s="199"/>
      <c r="AV26" s="199"/>
      <c r="AW26" s="199"/>
      <c r="AX26" s="199"/>
      <c r="AY26" s="199"/>
      <c r="AZ26" s="199"/>
      <c r="BA26" s="199"/>
      <c r="BB26" s="199"/>
      <c r="BC26" s="199"/>
      <c r="BD26" s="199"/>
      <c r="BE26" s="199"/>
      <c r="BF26" s="199"/>
      <c r="BG26" s="199"/>
      <c r="BH26" s="199"/>
      <c r="BI26" s="199"/>
      <c r="BJ26" s="199"/>
      <c r="BK26" s="199"/>
      <c r="BL26" s="199"/>
      <c r="BM26" s="199"/>
      <c r="BN26" s="199"/>
      <c r="BO26" s="199"/>
      <c r="BP26" s="199"/>
      <c r="BQ26" s="199"/>
    </row>
    <row r="27" spans="1:69" x14ac:dyDescent="0.2">
      <c r="A27" s="199"/>
      <c r="B27" s="199"/>
      <c r="C27" s="200"/>
      <c r="D27" s="200"/>
      <c r="E27" s="200"/>
      <c r="F27" s="199"/>
      <c r="G27" s="199"/>
      <c r="H27" s="199"/>
      <c r="I27" s="199"/>
      <c r="J27" s="199"/>
      <c r="K27" s="199"/>
      <c r="L27" s="199"/>
      <c r="M27" s="199"/>
      <c r="N27" s="199"/>
      <c r="O27" s="199"/>
      <c r="P27" s="199"/>
      <c r="Q27" s="199"/>
      <c r="R27" s="199"/>
      <c r="S27" s="199"/>
      <c r="T27" s="199"/>
      <c r="U27" s="199"/>
      <c r="V27" s="199"/>
      <c r="W27" s="199"/>
      <c r="X27" s="199"/>
      <c r="Y27" s="199"/>
      <c r="Z27" s="199"/>
      <c r="AA27" s="199"/>
      <c r="AB27" s="199"/>
      <c r="AC27" s="199"/>
      <c r="AD27" s="199"/>
      <c r="AE27" s="199"/>
      <c r="AF27" s="199"/>
      <c r="AG27" s="199"/>
      <c r="AH27" s="199"/>
      <c r="AI27" s="199"/>
      <c r="AJ27" s="199"/>
      <c r="AK27" s="199"/>
      <c r="AL27" s="199"/>
      <c r="AM27" s="199"/>
      <c r="AN27" s="199"/>
      <c r="AO27" s="199"/>
      <c r="AP27" s="199"/>
      <c r="AQ27" s="199"/>
      <c r="AR27" s="199"/>
      <c r="AS27" s="199"/>
      <c r="AT27" s="199"/>
      <c r="AU27" s="199"/>
      <c r="AV27" s="199"/>
      <c r="AW27" s="199"/>
      <c r="AX27" s="199"/>
      <c r="AY27" s="199"/>
      <c r="AZ27" s="199"/>
      <c r="BA27" s="199"/>
      <c r="BB27" s="199"/>
      <c r="BC27" s="199"/>
      <c r="BD27" s="199"/>
      <c r="BE27" s="199"/>
      <c r="BF27" s="199"/>
      <c r="BG27" s="199"/>
      <c r="BH27" s="199"/>
      <c r="BI27" s="199"/>
      <c r="BJ27" s="199"/>
      <c r="BK27" s="199"/>
      <c r="BL27" s="199"/>
      <c r="BM27" s="199"/>
      <c r="BN27" s="199"/>
      <c r="BO27" s="199"/>
      <c r="BP27" s="199"/>
      <c r="BQ27" s="199"/>
    </row>
    <row r="28" spans="1:69" x14ac:dyDescent="0.2">
      <c r="A28" s="199"/>
      <c r="B28" s="199"/>
      <c r="C28" s="199"/>
      <c r="D28" s="199"/>
      <c r="E28" s="199"/>
      <c r="F28" s="199"/>
      <c r="G28" s="199"/>
      <c r="H28" s="199"/>
      <c r="I28" s="199"/>
      <c r="J28" s="199"/>
      <c r="K28" s="199"/>
      <c r="L28" s="199"/>
      <c r="M28" s="199"/>
      <c r="N28" s="199"/>
      <c r="O28" s="199"/>
      <c r="P28" s="199"/>
      <c r="Q28" s="199"/>
      <c r="R28" s="199"/>
      <c r="S28" s="199"/>
      <c r="T28" s="199"/>
      <c r="U28" s="199"/>
      <c r="V28" s="199"/>
      <c r="W28" s="199"/>
      <c r="X28" s="199"/>
      <c r="Y28" s="199"/>
      <c r="Z28" s="199"/>
      <c r="AA28" s="199"/>
      <c r="AB28" s="199"/>
      <c r="AC28" s="199"/>
      <c r="AD28" s="199"/>
      <c r="AE28" s="199"/>
      <c r="AF28" s="199"/>
      <c r="AG28" s="199"/>
      <c r="AH28" s="199"/>
      <c r="AI28" s="199"/>
      <c r="AJ28" s="199"/>
      <c r="AK28" s="199"/>
      <c r="AL28" s="199"/>
      <c r="AM28" s="199"/>
      <c r="AN28" s="199"/>
      <c r="AO28" s="199"/>
      <c r="AP28" s="199"/>
      <c r="AQ28" s="199"/>
      <c r="AR28" s="199"/>
      <c r="AS28" s="199"/>
      <c r="AT28" s="199"/>
      <c r="AU28" s="199"/>
      <c r="AV28" s="199"/>
      <c r="AW28" s="199"/>
      <c r="AX28" s="199"/>
      <c r="AY28" s="199"/>
      <c r="AZ28" s="199"/>
      <c r="BA28" s="199"/>
      <c r="BB28" s="199"/>
      <c r="BC28" s="199"/>
      <c r="BD28" s="199"/>
      <c r="BE28" s="199"/>
      <c r="BF28" s="199"/>
      <c r="BG28" s="199"/>
      <c r="BH28" s="199"/>
      <c r="BI28" s="199"/>
      <c r="BJ28" s="199"/>
      <c r="BK28" s="199"/>
      <c r="BL28" s="199"/>
      <c r="BM28" s="199"/>
      <c r="BN28" s="199"/>
      <c r="BO28" s="199"/>
      <c r="BP28" s="199"/>
      <c r="BQ28" s="199"/>
    </row>
    <row r="29" spans="1:69" x14ac:dyDescent="0.2">
      <c r="A29" s="199"/>
      <c r="B29" s="199"/>
      <c r="C29" s="199"/>
      <c r="D29" s="199"/>
      <c r="E29" s="199"/>
      <c r="F29" s="199"/>
      <c r="G29" s="199"/>
      <c r="H29" s="199"/>
      <c r="I29" s="199"/>
      <c r="J29" s="199"/>
      <c r="K29" s="199"/>
      <c r="L29" s="199"/>
      <c r="M29" s="199"/>
      <c r="N29" s="199"/>
      <c r="O29" s="199"/>
      <c r="P29" s="199"/>
      <c r="Q29" s="199"/>
      <c r="R29" s="199"/>
      <c r="S29" s="199"/>
      <c r="T29" s="199"/>
      <c r="U29" s="199"/>
      <c r="V29" s="199"/>
      <c r="W29" s="199"/>
      <c r="X29" s="199"/>
      <c r="Y29" s="199"/>
      <c r="Z29" s="199"/>
      <c r="AA29" s="199"/>
      <c r="AB29" s="199"/>
      <c r="AC29" s="199"/>
      <c r="AD29" s="199"/>
      <c r="AE29" s="199"/>
      <c r="AF29" s="199"/>
      <c r="AG29" s="199"/>
      <c r="AH29" s="199"/>
      <c r="AI29" s="199"/>
      <c r="AJ29" s="199"/>
      <c r="AK29" s="199"/>
      <c r="AL29" s="199"/>
      <c r="AM29" s="199"/>
      <c r="AN29" s="199"/>
      <c r="AO29" s="199"/>
      <c r="AP29" s="199"/>
      <c r="AQ29" s="199"/>
      <c r="AR29" s="199"/>
      <c r="AS29" s="199"/>
      <c r="AT29" s="199"/>
      <c r="AU29" s="199"/>
      <c r="AV29" s="199"/>
      <c r="AW29" s="199"/>
      <c r="AX29" s="199"/>
      <c r="AY29" s="199"/>
      <c r="AZ29" s="199"/>
      <c r="BA29" s="199"/>
      <c r="BB29" s="199"/>
      <c r="BC29" s="199"/>
      <c r="BD29" s="199"/>
      <c r="BE29" s="199"/>
      <c r="BF29" s="199"/>
      <c r="BG29" s="199"/>
      <c r="BH29" s="199"/>
      <c r="BI29" s="199"/>
      <c r="BJ29" s="199"/>
      <c r="BK29" s="199"/>
      <c r="BL29" s="199"/>
      <c r="BM29" s="199"/>
      <c r="BN29" s="199"/>
      <c r="BO29" s="199"/>
      <c r="BP29" s="199"/>
      <c r="BQ29" s="199"/>
    </row>
    <row r="30" spans="1:69" x14ac:dyDescent="0.2">
      <c r="A30" s="199"/>
      <c r="B30" s="199"/>
      <c r="C30" s="199"/>
      <c r="D30" s="199"/>
      <c r="E30" s="199"/>
      <c r="F30" s="199"/>
      <c r="G30" s="199"/>
      <c r="H30" s="199"/>
      <c r="I30" s="199"/>
      <c r="J30" s="199"/>
      <c r="K30" s="199"/>
      <c r="L30" s="199"/>
      <c r="M30" s="199"/>
      <c r="N30" s="199"/>
      <c r="O30" s="199"/>
      <c r="P30" s="199"/>
      <c r="Q30" s="199"/>
      <c r="R30" s="199"/>
      <c r="S30" s="199"/>
      <c r="T30" s="199"/>
      <c r="U30" s="199"/>
      <c r="V30" s="199"/>
      <c r="W30" s="199"/>
      <c r="X30" s="199"/>
      <c r="Y30" s="199"/>
      <c r="Z30" s="199"/>
      <c r="AA30" s="199"/>
      <c r="AB30" s="199"/>
      <c r="AC30" s="199"/>
      <c r="AD30" s="199"/>
      <c r="AE30" s="199"/>
      <c r="AF30" s="199"/>
      <c r="AG30" s="199"/>
      <c r="AH30" s="199"/>
      <c r="AI30" s="199"/>
      <c r="AJ30" s="199"/>
      <c r="AK30" s="199"/>
      <c r="AL30" s="199"/>
      <c r="AM30" s="199"/>
      <c r="AN30" s="199"/>
      <c r="AO30" s="199"/>
      <c r="AP30" s="199"/>
      <c r="AQ30" s="199"/>
      <c r="AR30" s="199"/>
      <c r="AS30" s="199"/>
      <c r="AT30" s="199"/>
      <c r="AU30" s="199"/>
      <c r="AV30" s="199"/>
      <c r="AW30" s="199"/>
      <c r="AX30" s="199"/>
      <c r="AY30" s="199"/>
      <c r="AZ30" s="199"/>
      <c r="BA30" s="199"/>
      <c r="BB30" s="199"/>
      <c r="BC30" s="199"/>
      <c r="BD30" s="199"/>
      <c r="BE30" s="199"/>
      <c r="BF30" s="199"/>
      <c r="BG30" s="199"/>
      <c r="BH30" s="199"/>
      <c r="BI30" s="199"/>
      <c r="BJ30" s="199"/>
      <c r="BK30" s="199"/>
      <c r="BL30" s="199"/>
      <c r="BM30" s="199"/>
      <c r="BN30" s="199"/>
      <c r="BO30" s="199"/>
      <c r="BP30" s="199"/>
      <c r="BQ30" s="199"/>
    </row>
    <row r="31" spans="1:69" x14ac:dyDescent="0.2">
      <c r="A31" s="199"/>
      <c r="B31" s="199"/>
      <c r="C31" s="199"/>
      <c r="D31" s="199"/>
      <c r="E31" s="199"/>
      <c r="F31" s="199"/>
      <c r="G31" s="199"/>
      <c r="H31" s="199"/>
      <c r="I31" s="199"/>
      <c r="J31" s="199"/>
      <c r="K31" s="199"/>
      <c r="L31" s="199"/>
      <c r="M31" s="199"/>
      <c r="N31" s="199"/>
      <c r="O31" s="199"/>
      <c r="P31" s="199"/>
      <c r="Q31" s="199"/>
      <c r="R31" s="199"/>
      <c r="S31" s="199"/>
      <c r="T31" s="199"/>
      <c r="U31" s="199"/>
      <c r="V31" s="199"/>
      <c r="W31" s="199"/>
      <c r="X31" s="199"/>
      <c r="Y31" s="199"/>
      <c r="Z31" s="199"/>
      <c r="AA31" s="199"/>
      <c r="AB31" s="199"/>
      <c r="AC31" s="199"/>
      <c r="AD31" s="199"/>
      <c r="AE31" s="199"/>
      <c r="AF31" s="199"/>
      <c r="AG31" s="199"/>
      <c r="AH31" s="199"/>
      <c r="AI31" s="199"/>
      <c r="AJ31" s="199"/>
      <c r="AK31" s="199"/>
      <c r="AL31" s="199"/>
      <c r="AM31" s="199"/>
      <c r="AN31" s="199"/>
      <c r="AO31" s="199"/>
      <c r="AP31" s="199"/>
      <c r="AQ31" s="199"/>
      <c r="AR31" s="199"/>
      <c r="AS31" s="199"/>
      <c r="AT31" s="199"/>
      <c r="AU31" s="199"/>
      <c r="AV31" s="199"/>
      <c r="AW31" s="199"/>
      <c r="AX31" s="199"/>
      <c r="AY31" s="199"/>
      <c r="AZ31" s="199"/>
      <c r="BA31" s="199"/>
      <c r="BB31" s="199"/>
      <c r="BC31" s="199"/>
      <c r="BD31" s="199"/>
      <c r="BE31" s="199"/>
      <c r="BF31" s="199"/>
      <c r="BG31" s="199"/>
      <c r="BH31" s="199"/>
      <c r="BI31" s="199"/>
      <c r="BJ31" s="199"/>
      <c r="BK31" s="199"/>
      <c r="BL31" s="199"/>
      <c r="BM31" s="199"/>
      <c r="BN31" s="199"/>
      <c r="BO31" s="199"/>
      <c r="BP31" s="199"/>
      <c r="BQ31" s="199"/>
    </row>
    <row r="32" spans="1:69" x14ac:dyDescent="0.2">
      <c r="A32" s="199"/>
      <c r="B32" s="199"/>
      <c r="C32" s="199"/>
      <c r="D32" s="199"/>
      <c r="E32" s="199"/>
      <c r="F32" s="199"/>
      <c r="G32" s="199"/>
      <c r="H32" s="199"/>
      <c r="I32" s="199"/>
      <c r="J32" s="199"/>
      <c r="K32" s="199"/>
      <c r="L32" s="199"/>
      <c r="M32" s="199"/>
      <c r="N32" s="199"/>
      <c r="O32" s="199"/>
      <c r="P32" s="199"/>
      <c r="Q32" s="199"/>
      <c r="R32" s="199"/>
      <c r="S32" s="199"/>
      <c r="T32" s="199"/>
      <c r="U32" s="199"/>
      <c r="V32" s="199"/>
      <c r="W32" s="199"/>
      <c r="X32" s="199"/>
      <c r="Y32" s="199"/>
      <c r="Z32" s="199"/>
      <c r="AA32" s="199"/>
      <c r="AB32" s="199"/>
      <c r="AC32" s="199"/>
      <c r="AD32" s="199"/>
      <c r="AE32" s="199"/>
      <c r="AF32" s="199"/>
      <c r="AG32" s="199"/>
      <c r="AH32" s="199"/>
      <c r="AI32" s="199"/>
      <c r="AJ32" s="199"/>
      <c r="AK32" s="199"/>
      <c r="AL32" s="199"/>
      <c r="AM32" s="199"/>
      <c r="AN32" s="199"/>
      <c r="AO32" s="199"/>
      <c r="AP32" s="199"/>
      <c r="AQ32" s="199"/>
      <c r="AR32" s="199"/>
      <c r="AS32" s="199"/>
      <c r="AT32" s="199"/>
      <c r="AU32" s="199"/>
      <c r="AV32" s="199"/>
      <c r="AW32" s="199"/>
      <c r="AX32" s="199"/>
      <c r="AY32" s="199"/>
      <c r="AZ32" s="199"/>
      <c r="BA32" s="199"/>
      <c r="BB32" s="199"/>
      <c r="BC32" s="199"/>
      <c r="BD32" s="199"/>
      <c r="BE32" s="199"/>
      <c r="BF32" s="199"/>
      <c r="BG32" s="199"/>
      <c r="BH32" s="199"/>
      <c r="BI32" s="199"/>
      <c r="BJ32" s="199"/>
      <c r="BK32" s="199"/>
      <c r="BL32" s="199"/>
      <c r="BM32" s="199"/>
      <c r="BN32" s="199"/>
      <c r="BO32" s="199"/>
      <c r="BP32" s="199"/>
      <c r="BQ32" s="199"/>
    </row>
    <row r="33" spans="1:69" ht="38.25" x14ac:dyDescent="0.2">
      <c r="A33" s="201" t="s">
        <v>10</v>
      </c>
      <c r="B33" s="201" t="s">
        <v>11</v>
      </c>
      <c r="C33" s="201" t="s">
        <v>1</v>
      </c>
      <c r="D33" s="201" t="s">
        <v>9</v>
      </c>
      <c r="E33" s="201" t="s">
        <v>12</v>
      </c>
      <c r="F33" s="201" t="s">
        <v>13</v>
      </c>
      <c r="G33" s="201" t="s">
        <v>14</v>
      </c>
      <c r="H33" s="201" t="s">
        <v>15</v>
      </c>
      <c r="I33" s="201" t="s">
        <v>16</v>
      </c>
      <c r="J33" s="201" t="s">
        <v>17</v>
      </c>
      <c r="K33" s="201" t="s">
        <v>18</v>
      </c>
      <c r="L33" s="201" t="s">
        <v>19</v>
      </c>
      <c r="M33" s="201" t="s">
        <v>20</v>
      </c>
      <c r="N33" s="202" t="s">
        <v>21</v>
      </c>
      <c r="O33" s="199"/>
      <c r="P33" s="199"/>
      <c r="Q33" s="199"/>
      <c r="R33" s="199"/>
      <c r="S33" s="199"/>
      <c r="T33" s="199"/>
      <c r="U33" s="199"/>
      <c r="V33" s="199"/>
      <c r="W33" s="199"/>
      <c r="X33" s="199"/>
      <c r="Y33" s="199"/>
      <c r="Z33" s="199"/>
      <c r="AA33" s="199"/>
      <c r="AB33" s="199"/>
      <c r="AC33" s="199"/>
      <c r="AD33" s="199"/>
      <c r="AE33" s="199"/>
      <c r="AF33" s="199"/>
      <c r="AG33" s="199"/>
      <c r="AH33" s="199"/>
      <c r="AI33" s="199"/>
      <c r="AJ33" s="199"/>
      <c r="AK33" s="199"/>
      <c r="AL33" s="199"/>
      <c r="AM33" s="199"/>
      <c r="AN33" s="199"/>
      <c r="AO33" s="199"/>
      <c r="AP33" s="199"/>
      <c r="AQ33" s="199"/>
      <c r="AR33" s="199"/>
      <c r="AS33" s="199"/>
      <c r="AT33" s="199"/>
      <c r="AU33" s="199"/>
      <c r="AV33" s="199"/>
      <c r="AW33" s="199"/>
      <c r="AX33" s="199"/>
      <c r="AY33" s="199"/>
      <c r="AZ33" s="199"/>
      <c r="BA33" s="199"/>
      <c r="BB33" s="199"/>
      <c r="BC33" s="199"/>
      <c r="BD33" s="199"/>
      <c r="BE33" s="199"/>
      <c r="BF33" s="199"/>
      <c r="BG33" s="199"/>
      <c r="BH33" s="199"/>
      <c r="BI33" s="199"/>
      <c r="BJ33" s="199"/>
      <c r="BK33" s="199"/>
      <c r="BL33" s="199"/>
      <c r="BM33" s="199"/>
      <c r="BN33" s="199"/>
      <c r="BO33" s="199"/>
      <c r="BP33" s="199"/>
      <c r="BQ33" s="199"/>
    </row>
    <row r="34" spans="1:69" x14ac:dyDescent="0.2">
      <c r="A34" s="199" t="s">
        <v>28</v>
      </c>
      <c r="B34" s="199"/>
      <c r="C34" s="199"/>
      <c r="D34" s="199"/>
      <c r="E34" s="199"/>
      <c r="F34" s="199"/>
      <c r="G34" s="199"/>
      <c r="H34" s="199"/>
      <c r="I34" s="199"/>
      <c r="J34" s="199"/>
      <c r="K34" s="199"/>
      <c r="L34" s="199"/>
      <c r="M34" s="199"/>
      <c r="N34" s="199"/>
      <c r="O34" s="199"/>
      <c r="P34" s="199"/>
      <c r="Q34" s="199"/>
      <c r="R34" s="199"/>
      <c r="S34" s="199"/>
      <c r="T34" s="199"/>
      <c r="U34" s="199"/>
      <c r="V34" s="199"/>
      <c r="W34" s="199"/>
      <c r="X34" s="199"/>
      <c r="Y34" s="199"/>
      <c r="Z34" s="199"/>
      <c r="AA34" s="199"/>
      <c r="AB34" s="199"/>
      <c r="AC34" s="199"/>
      <c r="AD34" s="199"/>
      <c r="AE34" s="199"/>
      <c r="AF34" s="199"/>
      <c r="AG34" s="199"/>
      <c r="AH34" s="199"/>
      <c r="AI34" s="199"/>
      <c r="AJ34" s="199"/>
      <c r="AK34" s="199"/>
      <c r="AL34" s="199"/>
      <c r="AM34" s="199"/>
      <c r="AN34" s="199"/>
      <c r="AO34" s="199"/>
      <c r="AP34" s="199"/>
      <c r="AQ34" s="199"/>
      <c r="AR34" s="199"/>
      <c r="AS34" s="199"/>
      <c r="AT34" s="199"/>
      <c r="AU34" s="199"/>
      <c r="AV34" s="199"/>
      <c r="AW34" s="199"/>
      <c r="AX34" s="199"/>
      <c r="AY34" s="199"/>
      <c r="AZ34" s="199"/>
      <c r="BA34" s="199"/>
      <c r="BB34" s="199"/>
      <c r="BC34" s="199"/>
      <c r="BD34" s="199"/>
      <c r="BE34" s="199"/>
      <c r="BF34" s="199"/>
      <c r="BG34" s="199"/>
      <c r="BH34" s="199"/>
      <c r="BI34" s="199"/>
      <c r="BJ34" s="199"/>
      <c r="BK34" s="199"/>
      <c r="BL34" s="199"/>
      <c r="BM34" s="199"/>
      <c r="BN34" s="199"/>
      <c r="BO34" s="199"/>
      <c r="BP34" s="199"/>
      <c r="BQ34" s="199"/>
    </row>
    <row r="35" spans="1:69" x14ac:dyDescent="0.2">
      <c r="A35" s="199" t="s">
        <v>29</v>
      </c>
      <c r="B35" s="199"/>
      <c r="C35" s="199"/>
      <c r="D35" s="199"/>
      <c r="E35" s="199"/>
      <c r="F35" s="199"/>
      <c r="G35" s="199"/>
      <c r="H35" s="199"/>
      <c r="I35" s="199"/>
      <c r="J35" s="199"/>
      <c r="K35" s="199"/>
      <c r="L35" s="199"/>
      <c r="M35" s="199"/>
      <c r="N35" s="199"/>
      <c r="O35" s="199"/>
      <c r="P35" s="199"/>
      <c r="Q35" s="199"/>
      <c r="R35" s="199"/>
      <c r="S35" s="199"/>
      <c r="T35" s="199"/>
      <c r="U35" s="199"/>
      <c r="V35" s="199"/>
      <c r="W35" s="199"/>
      <c r="X35" s="199"/>
      <c r="Y35" s="199"/>
      <c r="Z35" s="199"/>
      <c r="AA35" s="199"/>
      <c r="AB35" s="199"/>
      <c r="AC35" s="199"/>
      <c r="AD35" s="199"/>
      <c r="AE35" s="199"/>
      <c r="AF35" s="199"/>
      <c r="AG35" s="199"/>
      <c r="AH35" s="199"/>
      <c r="AI35" s="199"/>
      <c r="AJ35" s="199"/>
      <c r="AK35" s="199"/>
      <c r="AL35" s="199"/>
      <c r="AM35" s="199"/>
      <c r="AN35" s="199"/>
      <c r="AO35" s="199"/>
      <c r="AP35" s="199"/>
      <c r="AQ35" s="199"/>
      <c r="AR35" s="199"/>
      <c r="AS35" s="199"/>
      <c r="AT35" s="199"/>
      <c r="AU35" s="199"/>
      <c r="AV35" s="199"/>
      <c r="AW35" s="199"/>
      <c r="AX35" s="199"/>
      <c r="AY35" s="199"/>
      <c r="AZ35" s="199"/>
      <c r="BA35" s="199"/>
      <c r="BB35" s="199"/>
      <c r="BC35" s="199"/>
      <c r="BD35" s="199"/>
      <c r="BE35" s="199"/>
      <c r="BF35" s="199"/>
      <c r="BG35" s="199"/>
      <c r="BH35" s="199"/>
      <c r="BI35" s="199"/>
      <c r="BJ35" s="199"/>
      <c r="BK35" s="199"/>
      <c r="BL35" s="199"/>
      <c r="BM35" s="199"/>
      <c r="BN35" s="199"/>
      <c r="BO35" s="199"/>
      <c r="BP35" s="199"/>
      <c r="BQ35" s="199"/>
    </row>
    <row r="36" spans="1:69" x14ac:dyDescent="0.2">
      <c r="A36" s="199" t="s">
        <v>26</v>
      </c>
      <c r="B36" s="199" t="s">
        <v>26</v>
      </c>
      <c r="C36" s="199">
        <v>0</v>
      </c>
      <c r="D36" s="199"/>
      <c r="E36" s="199"/>
      <c r="F36" s="199"/>
      <c r="G36" s="199"/>
      <c r="H36" s="199"/>
      <c r="I36" s="199"/>
      <c r="J36" s="199"/>
      <c r="K36" s="199"/>
      <c r="L36" s="199"/>
      <c r="M36" s="199"/>
      <c r="N36" s="199"/>
      <c r="O36" s="199"/>
      <c r="P36" s="199"/>
      <c r="Q36" s="199"/>
      <c r="R36" s="199"/>
      <c r="S36" s="199"/>
      <c r="T36" s="199"/>
      <c r="U36" s="199"/>
      <c r="V36" s="199"/>
      <c r="W36" s="199"/>
      <c r="X36" s="199"/>
      <c r="Y36" s="199"/>
      <c r="Z36" s="199"/>
      <c r="AA36" s="199"/>
      <c r="AB36" s="199"/>
      <c r="AC36" s="199"/>
      <c r="AD36" s="199"/>
      <c r="AE36" s="199"/>
      <c r="AF36" s="199"/>
      <c r="AG36" s="199"/>
      <c r="AH36" s="199"/>
      <c r="AI36" s="199"/>
      <c r="AJ36" s="199"/>
      <c r="AK36" s="199"/>
      <c r="AL36" s="199"/>
      <c r="AM36" s="199"/>
      <c r="AN36" s="199"/>
      <c r="AO36" s="199"/>
      <c r="AP36" s="199"/>
      <c r="AQ36" s="199"/>
      <c r="AR36" s="199"/>
      <c r="AS36" s="199"/>
      <c r="AT36" s="199"/>
      <c r="AU36" s="199"/>
      <c r="AV36" s="199"/>
      <c r="AW36" s="199"/>
      <c r="AX36" s="199"/>
      <c r="AY36" s="199"/>
      <c r="AZ36" s="199"/>
      <c r="BA36" s="199"/>
      <c r="BB36" s="199"/>
      <c r="BC36" s="199"/>
      <c r="BD36" s="199"/>
      <c r="BE36" s="199"/>
      <c r="BF36" s="199"/>
      <c r="BG36" s="199"/>
      <c r="BH36" s="199"/>
      <c r="BI36" s="199"/>
      <c r="BJ36" s="199"/>
      <c r="BK36" s="199"/>
      <c r="BL36" s="199"/>
      <c r="BM36" s="199"/>
      <c r="BN36" s="199"/>
      <c r="BO36" s="199"/>
      <c r="BP36" s="199"/>
      <c r="BQ36" s="199"/>
    </row>
    <row r="37" spans="1:69" x14ac:dyDescent="0.2">
      <c r="A37" s="199" t="s">
        <v>8</v>
      </c>
      <c r="B37" s="199" t="s">
        <v>27</v>
      </c>
      <c r="C37" s="199">
        <v>1</v>
      </c>
      <c r="D37" s="199"/>
      <c r="E37" s="199"/>
      <c r="F37" s="199"/>
      <c r="G37" s="199"/>
      <c r="H37" s="199"/>
      <c r="I37" s="199"/>
      <c r="J37" s="199"/>
      <c r="K37" s="199"/>
      <c r="L37" s="199"/>
      <c r="M37" s="199"/>
      <c r="N37" s="199"/>
      <c r="O37" s="199"/>
      <c r="P37" s="199"/>
      <c r="Q37" s="199"/>
      <c r="R37" s="199"/>
      <c r="S37" s="199"/>
      <c r="T37" s="199"/>
      <c r="U37" s="199"/>
      <c r="V37" s="199"/>
      <c r="W37" s="199"/>
      <c r="X37" s="199"/>
      <c r="Y37" s="199"/>
      <c r="Z37" s="199"/>
      <c r="AA37" s="199"/>
      <c r="AB37" s="199"/>
      <c r="AC37" s="199"/>
      <c r="AD37" s="199"/>
      <c r="AE37" s="199"/>
      <c r="AF37" s="199"/>
      <c r="AG37" s="199"/>
      <c r="AH37" s="199"/>
      <c r="AI37" s="199"/>
      <c r="AJ37" s="199"/>
      <c r="AK37" s="199"/>
      <c r="AL37" s="199"/>
      <c r="AM37" s="199"/>
      <c r="AN37" s="199"/>
      <c r="AO37" s="199"/>
      <c r="AP37" s="199"/>
      <c r="AQ37" s="199"/>
      <c r="AR37" s="199"/>
      <c r="AS37" s="199"/>
      <c r="AT37" s="199"/>
      <c r="AU37" s="199"/>
      <c r="AV37" s="199"/>
      <c r="AW37" s="199"/>
      <c r="AX37" s="199"/>
      <c r="AY37" s="199"/>
      <c r="AZ37" s="199"/>
      <c r="BA37" s="199"/>
      <c r="BB37" s="199"/>
      <c r="BC37" s="199"/>
      <c r="BD37" s="199"/>
      <c r="BE37" s="199"/>
      <c r="BF37" s="199"/>
      <c r="BG37" s="199"/>
      <c r="BH37" s="199"/>
      <c r="BI37" s="199"/>
      <c r="BJ37" s="199"/>
      <c r="BK37" s="199"/>
      <c r="BL37" s="199"/>
      <c r="BM37" s="199"/>
      <c r="BN37" s="199"/>
      <c r="BO37" s="199"/>
      <c r="BP37" s="199"/>
      <c r="BQ37" s="199"/>
    </row>
    <row r="38" spans="1:69" x14ac:dyDescent="0.2">
      <c r="A38" s="199" t="s">
        <v>27</v>
      </c>
      <c r="B38" s="199"/>
      <c r="C38" s="199">
        <v>2</v>
      </c>
      <c r="D38" s="199"/>
      <c r="E38" s="199"/>
      <c r="F38" s="199"/>
      <c r="G38" s="199"/>
      <c r="H38" s="199"/>
      <c r="I38" s="199"/>
      <c r="J38" s="199"/>
      <c r="K38" s="199"/>
      <c r="L38" s="199"/>
      <c r="M38" s="199"/>
      <c r="N38" s="199"/>
      <c r="O38" s="199"/>
      <c r="P38" s="199"/>
      <c r="Q38" s="199"/>
      <c r="R38" s="199"/>
      <c r="S38" s="199"/>
      <c r="T38" s="199"/>
      <c r="U38" s="199"/>
      <c r="V38" s="199"/>
      <c r="W38" s="199"/>
      <c r="X38" s="199"/>
      <c r="Y38" s="199"/>
      <c r="Z38" s="199"/>
      <c r="AA38" s="199"/>
      <c r="AB38" s="199"/>
      <c r="AC38" s="199"/>
      <c r="AD38" s="199"/>
      <c r="AE38" s="199"/>
      <c r="AF38" s="199"/>
      <c r="AG38" s="199"/>
      <c r="AH38" s="199"/>
      <c r="AI38" s="199"/>
      <c r="AJ38" s="199"/>
      <c r="AK38" s="199"/>
      <c r="AL38" s="199"/>
      <c r="AM38" s="199"/>
      <c r="AN38" s="199"/>
      <c r="AO38" s="199"/>
      <c r="AP38" s="199"/>
      <c r="AQ38" s="199"/>
      <c r="AR38" s="199"/>
      <c r="AS38" s="199"/>
      <c r="AT38" s="199"/>
      <c r="AU38" s="199"/>
      <c r="AV38" s="199"/>
      <c r="AW38" s="199"/>
      <c r="AX38" s="199"/>
      <c r="AY38" s="199"/>
      <c r="AZ38" s="199"/>
      <c r="BA38" s="199"/>
      <c r="BB38" s="199"/>
      <c r="BC38" s="199"/>
      <c r="BD38" s="199"/>
      <c r="BE38" s="199"/>
      <c r="BF38" s="199"/>
      <c r="BG38" s="199"/>
      <c r="BH38" s="199"/>
      <c r="BI38" s="199"/>
      <c r="BJ38" s="199"/>
      <c r="BK38" s="199"/>
      <c r="BL38" s="199"/>
      <c r="BM38" s="199"/>
      <c r="BN38" s="199"/>
      <c r="BO38" s="199"/>
      <c r="BP38" s="199"/>
      <c r="BQ38" s="199"/>
    </row>
    <row r="39" spans="1:69" x14ac:dyDescent="0.2">
      <c r="A39" s="199">
        <v>0</v>
      </c>
      <c r="B39" s="199"/>
      <c r="C39" s="203">
        <f>IF(B10="כן",7%,0)</f>
        <v>7.0000000000000007E-2</v>
      </c>
      <c r="D39" s="199"/>
      <c r="E39" s="199"/>
      <c r="F39" s="199"/>
      <c r="G39" s="199"/>
      <c r="H39" s="199"/>
      <c r="I39" s="199"/>
      <c r="J39" s="199"/>
      <c r="K39" s="199"/>
      <c r="L39" s="199"/>
      <c r="M39" s="199"/>
      <c r="N39" s="199"/>
      <c r="O39" s="199"/>
      <c r="P39" s="199"/>
      <c r="Q39" s="199"/>
      <c r="R39" s="199"/>
      <c r="S39" s="199"/>
      <c r="T39" s="199"/>
      <c r="U39" s="199"/>
      <c r="V39" s="199"/>
      <c r="W39" s="199"/>
      <c r="X39" s="199"/>
      <c r="Y39" s="199"/>
      <c r="Z39" s="199"/>
      <c r="AA39" s="199"/>
      <c r="AB39" s="199"/>
      <c r="AC39" s="199"/>
      <c r="AD39" s="199"/>
      <c r="AE39" s="199"/>
      <c r="AF39" s="199"/>
      <c r="AG39" s="199"/>
      <c r="AH39" s="199"/>
      <c r="AI39" s="199"/>
      <c r="AJ39" s="199"/>
      <c r="AK39" s="199"/>
      <c r="AL39" s="199"/>
      <c r="AM39" s="199"/>
      <c r="AN39" s="199"/>
      <c r="AO39" s="199"/>
      <c r="AP39" s="199"/>
      <c r="AQ39" s="199"/>
      <c r="AR39" s="199"/>
      <c r="AS39" s="199"/>
      <c r="AT39" s="199"/>
      <c r="AU39" s="199">
        <f>B13/B12*(C39+C40+17%+12.5%)</f>
        <v>0.1825</v>
      </c>
      <c r="AV39" s="199"/>
      <c r="AW39" s="199"/>
      <c r="AX39" s="199"/>
      <c r="AY39" s="199"/>
      <c r="AZ39" s="199"/>
      <c r="BA39" s="199"/>
      <c r="BB39" s="199"/>
      <c r="BC39" s="199"/>
      <c r="BD39" s="199"/>
      <c r="BE39" s="199"/>
      <c r="BF39" s="199"/>
      <c r="BG39" s="199"/>
      <c r="BH39" s="199"/>
      <c r="BI39" s="199"/>
      <c r="BJ39" s="199"/>
      <c r="BK39" s="199"/>
      <c r="BL39" s="199"/>
      <c r="BM39" s="199"/>
      <c r="BN39" s="199"/>
      <c r="BO39" s="199"/>
      <c r="BP39" s="199"/>
      <c r="BQ39" s="199"/>
    </row>
    <row r="40" spans="1:69" x14ac:dyDescent="0.2">
      <c r="A40" s="204">
        <v>0.1</v>
      </c>
      <c r="B40" s="199"/>
      <c r="C40" s="203">
        <f>IF(B9=0,0,3%)</f>
        <v>0</v>
      </c>
      <c r="D40" s="199"/>
      <c r="E40" s="199"/>
      <c r="F40" s="199"/>
      <c r="G40" s="199"/>
      <c r="H40" s="199"/>
      <c r="I40" s="199"/>
      <c r="J40" s="199"/>
      <c r="K40" s="199"/>
      <c r="L40" s="199"/>
      <c r="M40" s="199"/>
      <c r="N40" s="199"/>
      <c r="O40" s="199"/>
      <c r="P40" s="199"/>
      <c r="Q40" s="199"/>
      <c r="R40" s="199"/>
      <c r="S40" s="199"/>
      <c r="T40" s="199"/>
      <c r="U40" s="199"/>
      <c r="V40" s="199"/>
      <c r="W40" s="199"/>
      <c r="X40" s="199"/>
      <c r="Y40" s="199"/>
      <c r="Z40" s="199"/>
      <c r="AA40" s="199"/>
      <c r="AB40" s="199"/>
      <c r="AC40" s="199"/>
      <c r="AD40" s="199"/>
      <c r="AE40" s="199"/>
      <c r="AF40" s="199"/>
      <c r="AG40" s="199"/>
      <c r="AH40" s="199"/>
      <c r="AI40" s="199"/>
      <c r="AJ40" s="199"/>
      <c r="AK40" s="199"/>
      <c r="AL40" s="199"/>
      <c r="AM40" s="199"/>
      <c r="AN40" s="199"/>
      <c r="AO40" s="199"/>
      <c r="AP40" s="199"/>
      <c r="AQ40" s="199"/>
      <c r="AR40" s="199"/>
      <c r="AS40" s="199"/>
      <c r="AT40" s="199"/>
      <c r="AU40" s="199">
        <f>B14/B12*(C39+C40+17%)</f>
        <v>0.12000000000000001</v>
      </c>
      <c r="AV40" s="199"/>
      <c r="AW40" s="199"/>
      <c r="AX40" s="199"/>
      <c r="AY40" s="199"/>
      <c r="AZ40" s="199"/>
      <c r="BA40" s="199"/>
      <c r="BB40" s="199"/>
      <c r="BC40" s="199"/>
      <c r="BD40" s="199"/>
      <c r="BE40" s="199"/>
      <c r="BF40" s="199"/>
      <c r="BG40" s="199"/>
      <c r="BH40" s="199"/>
      <c r="BI40" s="199"/>
      <c r="BJ40" s="199"/>
      <c r="BK40" s="199"/>
      <c r="BL40" s="199"/>
      <c r="BM40" s="199"/>
      <c r="BN40" s="199"/>
      <c r="BO40" s="199"/>
      <c r="BP40" s="199"/>
      <c r="BQ40" s="199"/>
    </row>
    <row r="41" spans="1:69" x14ac:dyDescent="0.2">
      <c r="A41" s="205">
        <v>0.115</v>
      </c>
      <c r="B41" s="199"/>
      <c r="C41" s="199"/>
      <c r="D41" s="199"/>
      <c r="E41" s="199"/>
      <c r="F41" s="199"/>
      <c r="G41" s="199"/>
      <c r="H41" s="199"/>
      <c r="I41" s="199"/>
      <c r="J41" s="199"/>
      <c r="K41" s="199"/>
      <c r="L41" s="199"/>
      <c r="M41" s="199"/>
      <c r="N41" s="199"/>
      <c r="O41" s="199"/>
      <c r="P41" s="199"/>
      <c r="Q41" s="199"/>
      <c r="R41" s="199"/>
      <c r="S41" s="199"/>
      <c r="T41" s="199"/>
      <c r="U41" s="199"/>
      <c r="V41" s="199"/>
      <c r="W41" s="199"/>
      <c r="X41" s="199"/>
      <c r="Y41" s="199"/>
      <c r="Z41" s="199"/>
      <c r="AA41" s="199"/>
      <c r="AB41" s="199"/>
      <c r="AC41" s="199"/>
      <c r="AD41" s="199"/>
      <c r="AE41" s="199"/>
      <c r="AF41" s="199"/>
      <c r="AG41" s="199"/>
      <c r="AH41" s="199"/>
      <c r="AI41" s="199"/>
      <c r="AJ41" s="199"/>
      <c r="AK41" s="199"/>
      <c r="AL41" s="199"/>
      <c r="AM41" s="199"/>
      <c r="AN41" s="199"/>
      <c r="AO41" s="199"/>
      <c r="AP41" s="199"/>
      <c r="AQ41" s="199"/>
      <c r="AR41" s="199"/>
      <c r="AS41" s="199"/>
      <c r="AT41" s="199"/>
      <c r="AU41" s="199">
        <f>(AU40+AU39)</f>
        <v>0.30249999999999999</v>
      </c>
      <c r="AV41" s="199"/>
      <c r="AW41" s="199"/>
      <c r="AX41" s="199"/>
      <c r="AY41" s="199"/>
      <c r="AZ41" s="199"/>
      <c r="BA41" s="199"/>
      <c r="BB41" s="199"/>
      <c r="BC41" s="199"/>
      <c r="BD41" s="199"/>
      <c r="BE41" s="199"/>
      <c r="BF41" s="199"/>
      <c r="BG41" s="199"/>
      <c r="BH41" s="199"/>
      <c r="BI41" s="199"/>
      <c r="BJ41" s="199"/>
      <c r="BK41" s="199"/>
      <c r="BL41" s="199"/>
      <c r="BM41" s="199"/>
      <c r="BN41" s="199"/>
      <c r="BO41" s="199"/>
      <c r="BP41" s="199"/>
      <c r="BQ41" s="199"/>
    </row>
    <row r="42" spans="1:69" x14ac:dyDescent="0.2">
      <c r="A42" s="199"/>
      <c r="B42" s="199"/>
      <c r="C42" s="199"/>
      <c r="D42" s="199"/>
      <c r="E42" s="199"/>
      <c r="F42" s="199"/>
      <c r="G42" s="199"/>
      <c r="H42" s="199"/>
      <c r="I42" s="199"/>
      <c r="J42" s="199"/>
      <c r="K42" s="199"/>
      <c r="L42" s="199"/>
      <c r="M42" s="199"/>
      <c r="N42" s="199"/>
      <c r="O42" s="199"/>
      <c r="P42" s="199"/>
      <c r="Q42" s="199"/>
      <c r="R42" s="199"/>
      <c r="S42" s="199"/>
      <c r="T42" s="199"/>
      <c r="U42" s="199"/>
      <c r="V42" s="199"/>
      <c r="W42" s="199"/>
      <c r="X42" s="199"/>
      <c r="Y42" s="199"/>
      <c r="Z42" s="199"/>
      <c r="AA42" s="199"/>
      <c r="AB42" s="199"/>
      <c r="AC42" s="199"/>
      <c r="AD42" s="199"/>
      <c r="AE42" s="199"/>
      <c r="AF42" s="199"/>
      <c r="AG42" s="199"/>
      <c r="AH42" s="199"/>
      <c r="AI42" s="199"/>
      <c r="AJ42" s="199"/>
      <c r="AK42" s="199"/>
      <c r="AL42" s="199"/>
      <c r="AM42" s="199"/>
      <c r="AN42" s="199"/>
      <c r="AO42" s="199"/>
      <c r="AP42" s="199"/>
      <c r="AQ42" s="199"/>
      <c r="AR42" s="199"/>
      <c r="AS42" s="199"/>
      <c r="AT42" s="199"/>
      <c r="AU42" s="199"/>
      <c r="AV42" s="199"/>
      <c r="AW42" s="199"/>
      <c r="AX42" s="199"/>
      <c r="AY42" s="199"/>
      <c r="AZ42" s="199"/>
      <c r="BA42" s="199"/>
      <c r="BB42" s="199"/>
      <c r="BC42" s="199"/>
      <c r="BD42" s="199"/>
      <c r="BE42" s="199"/>
      <c r="BF42" s="199"/>
      <c r="BG42" s="199"/>
      <c r="BH42" s="199"/>
      <c r="BI42" s="199"/>
      <c r="BJ42" s="199"/>
      <c r="BK42" s="199"/>
      <c r="BL42" s="199"/>
      <c r="BM42" s="199"/>
      <c r="BN42" s="199"/>
      <c r="BO42" s="199"/>
      <c r="BP42" s="199"/>
      <c r="BQ42" s="199"/>
    </row>
    <row r="43" spans="1:69" x14ac:dyDescent="0.2">
      <c r="A43" s="199"/>
      <c r="B43" s="199"/>
      <c r="C43" s="199"/>
      <c r="D43" s="199"/>
      <c r="E43" s="199"/>
      <c r="F43" s="199"/>
      <c r="G43" s="199"/>
      <c r="H43" s="199"/>
      <c r="I43" s="199"/>
      <c r="J43" s="199"/>
      <c r="K43" s="199"/>
      <c r="L43" s="199"/>
      <c r="M43" s="199"/>
      <c r="N43" s="199"/>
      <c r="O43" s="199"/>
      <c r="P43" s="199"/>
      <c r="Q43" s="199"/>
      <c r="R43" s="199"/>
      <c r="S43" s="199"/>
      <c r="T43" s="199"/>
      <c r="U43" s="199"/>
      <c r="V43" s="199"/>
      <c r="W43" s="199"/>
      <c r="X43" s="199"/>
      <c r="Y43" s="199"/>
      <c r="Z43" s="199"/>
      <c r="AA43" s="199"/>
      <c r="AB43" s="199"/>
      <c r="AC43" s="199"/>
      <c r="AD43" s="199"/>
      <c r="AE43" s="199"/>
      <c r="AF43" s="199"/>
      <c r="AG43" s="199"/>
      <c r="AH43" s="199"/>
      <c r="AI43" s="199"/>
      <c r="AJ43" s="199"/>
      <c r="AK43" s="199"/>
      <c r="AL43" s="199"/>
      <c r="AM43" s="199"/>
      <c r="AN43" s="199"/>
      <c r="AO43" s="199"/>
      <c r="AP43" s="199"/>
      <c r="AQ43" s="199"/>
      <c r="AR43" s="199"/>
      <c r="AS43" s="199"/>
      <c r="AT43" s="199"/>
      <c r="AU43" s="199"/>
      <c r="AV43" s="199"/>
      <c r="AW43" s="199"/>
      <c r="AX43" s="199"/>
      <c r="AY43" s="199"/>
      <c r="AZ43" s="199"/>
      <c r="BA43" s="199"/>
      <c r="BB43" s="199"/>
      <c r="BC43" s="199"/>
      <c r="BD43" s="199"/>
      <c r="BE43" s="199"/>
      <c r="BF43" s="199"/>
      <c r="BG43" s="199"/>
      <c r="BH43" s="199"/>
      <c r="BI43" s="199"/>
      <c r="BJ43" s="199"/>
      <c r="BK43" s="199"/>
      <c r="BL43" s="199"/>
      <c r="BM43" s="199"/>
      <c r="BN43" s="199"/>
      <c r="BO43" s="199"/>
      <c r="BP43" s="199"/>
      <c r="BQ43" s="199"/>
    </row>
    <row r="44" spans="1:69" x14ac:dyDescent="0.2">
      <c r="A44" s="199"/>
      <c r="B44" s="199"/>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f>IF(B10="כן",10%,0)</f>
        <v>0.1</v>
      </c>
      <c r="AV44" s="199">
        <f>($E$15/24)</f>
        <v>0</v>
      </c>
      <c r="AW44" s="199">
        <f>AV44/(AV45+AV44)</f>
        <v>0</v>
      </c>
      <c r="AX44" s="199">
        <f>AU44*AW44</f>
        <v>0</v>
      </c>
      <c r="AY44" s="199"/>
      <c r="AZ44" s="199"/>
      <c r="BA44" s="199"/>
      <c r="BB44" s="199"/>
      <c r="BC44" s="199"/>
      <c r="BD44" s="199"/>
      <c r="BE44" s="199"/>
      <c r="BF44" s="199"/>
      <c r="BG44" s="199"/>
      <c r="BH44" s="199"/>
      <c r="BI44" s="199"/>
      <c r="BJ44" s="199"/>
      <c r="BK44" s="199"/>
      <c r="BL44" s="199"/>
      <c r="BM44" s="199"/>
      <c r="BN44" s="199"/>
      <c r="BO44" s="199"/>
      <c r="BP44" s="199"/>
      <c r="BQ44" s="199"/>
    </row>
    <row r="45" spans="1:69" x14ac:dyDescent="0.2">
      <c r="A45" s="199"/>
      <c r="B45" s="199"/>
      <c r="C45" s="199"/>
      <c r="D45" s="199"/>
      <c r="E45" s="199"/>
      <c r="F45" s="199"/>
      <c r="G45" s="199"/>
      <c r="H45" s="199"/>
      <c r="I45" s="199"/>
      <c r="J45" s="199"/>
      <c r="K45" s="199"/>
      <c r="L45" s="199"/>
      <c r="M45" s="199"/>
      <c r="N45" s="199"/>
      <c r="O45" s="199"/>
      <c r="P45" s="199"/>
      <c r="Q45" s="199"/>
      <c r="R45" s="199"/>
      <c r="S45" s="199"/>
      <c r="T45" s="199"/>
      <c r="U45" s="199"/>
      <c r="V45" s="199"/>
      <c r="W45" s="199"/>
      <c r="X45" s="199"/>
      <c r="Y45" s="199"/>
      <c r="Z45" s="199"/>
      <c r="AA45" s="199"/>
      <c r="AB45" s="199"/>
      <c r="AC45" s="199"/>
      <c r="AD45" s="199"/>
      <c r="AE45" s="199"/>
      <c r="AF45" s="199"/>
      <c r="AG45" s="199"/>
      <c r="AH45" s="199"/>
      <c r="AI45" s="199"/>
      <c r="AJ45" s="199"/>
      <c r="AK45" s="199"/>
      <c r="AL45" s="199"/>
      <c r="AM45" s="199"/>
      <c r="AN45" s="199"/>
      <c r="AO45" s="199"/>
      <c r="AP45" s="199"/>
      <c r="AQ45" s="199"/>
      <c r="AR45" s="199"/>
      <c r="AS45" s="199"/>
      <c r="AT45" s="199"/>
      <c r="AU45" s="199"/>
      <c r="AV45" s="199">
        <f>$E$16/30</f>
        <v>0.83333333333333337</v>
      </c>
      <c r="AW45" s="199">
        <f>AV45/(AV44+AV45)</f>
        <v>1</v>
      </c>
      <c r="AX45" s="199">
        <f>AW45*AU44</f>
        <v>0.1</v>
      </c>
      <c r="AY45" s="199"/>
      <c r="AZ45" s="199"/>
      <c r="BA45" s="199"/>
      <c r="BB45" s="199"/>
      <c r="BC45" s="199"/>
      <c r="BD45" s="199"/>
      <c r="BE45" s="199"/>
      <c r="BF45" s="199"/>
      <c r="BG45" s="199"/>
      <c r="BH45" s="199"/>
      <c r="BI45" s="199"/>
      <c r="BJ45" s="199"/>
      <c r="BK45" s="199"/>
      <c r="BL45" s="199"/>
      <c r="BM45" s="199"/>
      <c r="BN45" s="199"/>
      <c r="BO45" s="199"/>
      <c r="BP45" s="199"/>
      <c r="BQ45" s="199"/>
    </row>
    <row r="46" spans="1:69" x14ac:dyDescent="0.2">
      <c r="A46" s="199"/>
      <c r="B46" s="199"/>
      <c r="C46" s="199"/>
      <c r="D46" s="199"/>
      <c r="E46" s="199"/>
      <c r="F46" s="199"/>
      <c r="G46" s="199"/>
      <c r="H46" s="199"/>
      <c r="I46" s="199"/>
      <c r="J46" s="199"/>
      <c r="K46" s="199"/>
      <c r="L46" s="199"/>
      <c r="M46" s="199"/>
      <c r="N46" s="199"/>
      <c r="O46" s="199"/>
      <c r="P46" s="199"/>
      <c r="Q46" s="199"/>
      <c r="R46" s="199"/>
      <c r="S46" s="199"/>
      <c r="T46" s="199"/>
      <c r="U46" s="199"/>
      <c r="V46" s="199"/>
      <c r="W46" s="199"/>
      <c r="X46" s="199"/>
      <c r="Y46" s="199"/>
      <c r="Z46" s="199"/>
      <c r="AA46" s="199"/>
      <c r="AB46" s="199"/>
      <c r="AC46" s="199"/>
      <c r="AD46" s="199"/>
      <c r="AE46" s="199"/>
      <c r="AF46" s="199"/>
      <c r="AG46" s="199"/>
      <c r="AH46" s="199"/>
      <c r="AI46" s="199"/>
      <c r="AJ46" s="199"/>
      <c r="AK46" s="199"/>
      <c r="AL46" s="199"/>
      <c r="AM46" s="199"/>
      <c r="AN46" s="199"/>
      <c r="AO46" s="199"/>
      <c r="AP46" s="199"/>
      <c r="AQ46" s="199"/>
      <c r="AR46" s="199"/>
      <c r="AS46" s="199"/>
      <c r="AT46" s="199"/>
      <c r="AU46" s="199"/>
      <c r="AV46" s="199"/>
      <c r="AW46" s="199"/>
      <c r="AX46" s="199"/>
      <c r="AY46" s="199"/>
      <c r="AZ46" s="199"/>
      <c r="BA46" s="199"/>
      <c r="BB46" s="199"/>
      <c r="BC46" s="199"/>
      <c r="BD46" s="199"/>
      <c r="BE46" s="199"/>
      <c r="BF46" s="199"/>
      <c r="BG46" s="199"/>
      <c r="BH46" s="199"/>
      <c r="BI46" s="199"/>
      <c r="BJ46" s="199"/>
      <c r="BK46" s="199"/>
      <c r="BL46" s="199"/>
      <c r="BM46" s="199"/>
      <c r="BN46" s="199"/>
      <c r="BO46" s="199"/>
      <c r="BP46" s="199"/>
      <c r="BQ46" s="199"/>
    </row>
    <row r="47" spans="1:69" x14ac:dyDescent="0.2">
      <c r="A47" s="199"/>
      <c r="B47" s="199"/>
      <c r="C47" s="199"/>
      <c r="D47" s="199"/>
      <c r="E47" s="199"/>
      <c r="F47" s="199"/>
      <c r="G47" s="199"/>
      <c r="H47" s="199"/>
      <c r="I47" s="199"/>
      <c r="J47" s="199"/>
      <c r="K47" s="199"/>
      <c r="L47" s="199"/>
      <c r="M47" s="199"/>
      <c r="N47" s="199"/>
      <c r="O47" s="199"/>
      <c r="P47" s="199"/>
      <c r="Q47" s="199"/>
      <c r="R47" s="199"/>
      <c r="S47" s="199"/>
      <c r="T47" s="199"/>
      <c r="U47" s="199"/>
      <c r="V47" s="199"/>
      <c r="W47" s="199"/>
      <c r="X47" s="199"/>
      <c r="Y47" s="199"/>
      <c r="Z47" s="199"/>
      <c r="AA47" s="199"/>
      <c r="AB47" s="199"/>
      <c r="AC47" s="199"/>
      <c r="AD47" s="199"/>
      <c r="AE47" s="199"/>
      <c r="AF47" s="199"/>
      <c r="AG47" s="199"/>
      <c r="AH47" s="199"/>
      <c r="AI47" s="199"/>
      <c r="AJ47" s="199"/>
      <c r="AK47" s="199"/>
      <c r="AL47" s="199"/>
      <c r="AM47" s="199"/>
      <c r="AN47" s="199"/>
      <c r="AO47" s="199"/>
      <c r="AP47" s="199"/>
      <c r="AQ47" s="199"/>
      <c r="AR47" s="199"/>
      <c r="AS47" s="199"/>
      <c r="AT47" s="199"/>
      <c r="AU47" s="199"/>
      <c r="AV47" s="199"/>
      <c r="AW47" s="199"/>
      <c r="AX47" s="199"/>
      <c r="AY47" s="199"/>
      <c r="AZ47" s="199"/>
      <c r="BA47" s="199"/>
      <c r="BB47" s="199"/>
      <c r="BC47" s="199"/>
      <c r="BD47" s="199"/>
      <c r="BE47" s="199"/>
      <c r="BF47" s="199"/>
      <c r="BG47" s="199"/>
      <c r="BH47" s="199"/>
      <c r="BI47" s="199"/>
      <c r="BJ47" s="199"/>
      <c r="BK47" s="199"/>
      <c r="BL47" s="199"/>
      <c r="BM47" s="199"/>
      <c r="BN47" s="199"/>
      <c r="BO47" s="199"/>
      <c r="BP47" s="199"/>
      <c r="BQ47" s="199"/>
    </row>
    <row r="48" spans="1:69" x14ac:dyDescent="0.2">
      <c r="A48" s="199"/>
      <c r="B48" s="199"/>
      <c r="C48" s="199"/>
      <c r="D48" s="199"/>
      <c r="E48" s="199"/>
      <c r="F48" s="199"/>
      <c r="G48" s="199"/>
      <c r="H48" s="199"/>
      <c r="I48" s="199"/>
      <c r="J48" s="199"/>
      <c r="K48" s="199"/>
      <c r="L48" s="199"/>
      <c r="M48" s="199"/>
      <c r="N48" s="199"/>
      <c r="O48" s="199"/>
      <c r="P48" s="199"/>
      <c r="Q48" s="199"/>
      <c r="R48" s="199"/>
      <c r="S48" s="199"/>
      <c r="T48" s="199"/>
      <c r="U48" s="199"/>
      <c r="V48" s="199"/>
      <c r="W48" s="199"/>
      <c r="X48" s="199"/>
      <c r="Y48" s="199"/>
      <c r="Z48" s="199"/>
      <c r="AA48" s="199"/>
      <c r="AB48" s="199"/>
      <c r="AC48" s="199"/>
      <c r="AD48" s="199"/>
      <c r="AE48" s="199"/>
      <c r="AF48" s="199"/>
      <c r="AG48" s="199"/>
      <c r="AH48" s="199"/>
      <c r="AI48" s="199"/>
      <c r="AJ48" s="199"/>
      <c r="AK48" s="199"/>
      <c r="AL48" s="199"/>
      <c r="AM48" s="199"/>
      <c r="AN48" s="199"/>
      <c r="AO48" s="199"/>
      <c r="AP48" s="199"/>
      <c r="AQ48" s="199"/>
      <c r="AR48" s="199"/>
      <c r="AS48" s="199"/>
      <c r="AT48" s="199"/>
      <c r="AU48" s="199"/>
      <c r="AV48" s="199"/>
      <c r="AW48" s="199"/>
      <c r="AX48" s="199"/>
      <c r="AY48" s="199"/>
      <c r="AZ48" s="199"/>
      <c r="BA48" s="199"/>
      <c r="BB48" s="199"/>
      <c r="BC48" s="199"/>
      <c r="BD48" s="199"/>
      <c r="BE48" s="199"/>
      <c r="BF48" s="199"/>
      <c r="BG48" s="199"/>
      <c r="BH48" s="199"/>
      <c r="BI48" s="199"/>
      <c r="BJ48" s="199"/>
      <c r="BK48" s="199"/>
      <c r="BL48" s="199"/>
      <c r="BM48" s="199"/>
      <c r="BN48" s="199"/>
      <c r="BO48" s="199"/>
      <c r="BP48" s="199"/>
      <c r="BQ48" s="199"/>
    </row>
    <row r="49" spans="1:69" x14ac:dyDescent="0.2">
      <c r="A49" s="199"/>
      <c r="B49" s="199"/>
      <c r="C49" s="199"/>
      <c r="D49" s="199"/>
      <c r="E49" s="199"/>
      <c r="F49" s="199"/>
      <c r="G49" s="199"/>
      <c r="H49" s="199"/>
      <c r="I49" s="199"/>
      <c r="J49" s="199"/>
      <c r="K49" s="199"/>
      <c r="L49" s="199"/>
      <c r="M49" s="199"/>
      <c r="N49" s="199"/>
      <c r="O49" s="199"/>
      <c r="P49" s="199"/>
      <c r="Q49" s="199"/>
      <c r="R49" s="199"/>
      <c r="S49" s="199"/>
      <c r="T49" s="199"/>
      <c r="U49" s="199"/>
      <c r="V49" s="199"/>
      <c r="W49" s="199"/>
      <c r="X49" s="199"/>
      <c r="Y49" s="199"/>
      <c r="Z49" s="199"/>
      <c r="AA49" s="199"/>
      <c r="AB49" s="199"/>
      <c r="AC49" s="199"/>
      <c r="AD49" s="199"/>
      <c r="AE49" s="199"/>
      <c r="AF49" s="199"/>
      <c r="AG49" s="199"/>
      <c r="AH49" s="199"/>
      <c r="AI49" s="199"/>
      <c r="AJ49" s="199"/>
      <c r="AK49" s="199"/>
      <c r="AL49" s="199"/>
      <c r="AM49" s="199"/>
      <c r="AN49" s="199"/>
      <c r="AO49" s="199"/>
      <c r="AP49" s="199"/>
      <c r="AQ49" s="199"/>
      <c r="AR49" s="199"/>
      <c r="AS49" s="199"/>
      <c r="AT49" s="199"/>
      <c r="AU49" s="199"/>
      <c r="AV49" s="199"/>
      <c r="AW49" s="199"/>
      <c r="AX49" s="199"/>
      <c r="AY49" s="199"/>
      <c r="AZ49" s="199"/>
      <c r="BA49" s="199"/>
      <c r="BB49" s="199"/>
      <c r="BC49" s="199"/>
      <c r="BD49" s="199"/>
      <c r="BE49" s="199"/>
      <c r="BF49" s="199"/>
      <c r="BG49" s="199"/>
      <c r="BH49" s="199"/>
      <c r="BI49" s="199"/>
      <c r="BJ49" s="199"/>
      <c r="BK49" s="199"/>
      <c r="BL49" s="199"/>
      <c r="BM49" s="199"/>
      <c r="BN49" s="199"/>
      <c r="BO49" s="199"/>
      <c r="BP49" s="199"/>
      <c r="BQ49" s="199"/>
    </row>
    <row r="50" spans="1:69" x14ac:dyDescent="0.2">
      <c r="A50" s="199"/>
      <c r="B50" s="199"/>
      <c r="C50" s="199"/>
      <c r="D50" s="199"/>
      <c r="E50" s="199"/>
      <c r="F50" s="199"/>
      <c r="G50" s="199"/>
      <c r="H50" s="199"/>
      <c r="I50" s="199"/>
      <c r="J50" s="199"/>
      <c r="K50" s="199"/>
      <c r="L50" s="199"/>
      <c r="M50" s="199"/>
      <c r="N50" s="199"/>
      <c r="O50" s="199"/>
      <c r="P50" s="199"/>
      <c r="Q50" s="199"/>
      <c r="R50" s="199"/>
      <c r="S50" s="199"/>
      <c r="T50" s="199"/>
      <c r="U50" s="199"/>
      <c r="V50" s="199"/>
      <c r="W50" s="199"/>
      <c r="X50" s="199"/>
      <c r="Y50" s="199"/>
      <c r="Z50" s="199"/>
      <c r="AA50" s="199"/>
      <c r="AB50" s="199"/>
      <c r="AC50" s="199"/>
      <c r="AD50" s="199"/>
      <c r="AE50" s="199"/>
      <c r="AF50" s="199"/>
      <c r="AG50" s="199"/>
      <c r="AH50" s="199"/>
      <c r="AI50" s="199"/>
      <c r="AJ50" s="199"/>
      <c r="AK50" s="199"/>
      <c r="AL50" s="199"/>
      <c r="AM50" s="199"/>
      <c r="AN50" s="199"/>
      <c r="AO50" s="199"/>
      <c r="AP50" s="199"/>
      <c r="AQ50" s="199"/>
      <c r="AR50" s="199"/>
      <c r="AS50" s="199"/>
      <c r="AT50" s="199"/>
      <c r="AU50" s="199"/>
      <c r="AV50" s="199"/>
      <c r="AW50" s="199"/>
      <c r="AX50" s="199"/>
      <c r="AY50" s="199"/>
      <c r="AZ50" s="199"/>
      <c r="BA50" s="199"/>
      <c r="BB50" s="199"/>
      <c r="BC50" s="199"/>
      <c r="BD50" s="199"/>
      <c r="BE50" s="199"/>
      <c r="BF50" s="199"/>
      <c r="BG50" s="199"/>
      <c r="BH50" s="199"/>
      <c r="BI50" s="199"/>
      <c r="BJ50" s="199"/>
      <c r="BK50" s="199"/>
      <c r="BL50" s="199"/>
      <c r="BM50" s="199"/>
      <c r="BN50" s="199"/>
      <c r="BO50" s="199"/>
      <c r="BP50" s="199"/>
      <c r="BQ50" s="199"/>
    </row>
    <row r="51" spans="1:69" x14ac:dyDescent="0.2">
      <c r="A51" s="199"/>
      <c r="B51" s="199"/>
      <c r="C51" s="199"/>
      <c r="D51" s="199"/>
      <c r="E51" s="199"/>
      <c r="F51" s="199"/>
      <c r="G51" s="199"/>
      <c r="H51" s="199"/>
      <c r="I51" s="199"/>
      <c r="J51" s="199"/>
      <c r="K51" s="199"/>
      <c r="L51" s="199"/>
      <c r="M51" s="199"/>
      <c r="N51" s="199"/>
      <c r="O51" s="199"/>
      <c r="P51" s="199"/>
      <c r="Q51" s="199"/>
      <c r="R51" s="199"/>
      <c r="S51" s="199"/>
      <c r="T51" s="199"/>
      <c r="U51" s="199"/>
      <c r="V51" s="199"/>
      <c r="W51" s="199"/>
      <c r="X51" s="199"/>
      <c r="Y51" s="199"/>
      <c r="Z51" s="199"/>
      <c r="AA51" s="199"/>
      <c r="AB51" s="199"/>
      <c r="AC51" s="199"/>
      <c r="AD51" s="199"/>
      <c r="AE51" s="199"/>
      <c r="AF51" s="199"/>
      <c r="AG51" s="199"/>
      <c r="AH51" s="199"/>
      <c r="AI51" s="199"/>
      <c r="AJ51" s="199"/>
      <c r="AK51" s="199"/>
      <c r="AL51" s="199"/>
      <c r="AM51" s="199"/>
      <c r="AN51" s="199"/>
      <c r="AO51" s="199"/>
      <c r="AP51" s="199"/>
      <c r="AQ51" s="199"/>
      <c r="AR51" s="199"/>
      <c r="AS51" s="199"/>
      <c r="AT51" s="199"/>
      <c r="AU51" s="199"/>
      <c r="AV51" s="199"/>
      <c r="AW51" s="199"/>
      <c r="AX51" s="199"/>
      <c r="AY51" s="199"/>
      <c r="AZ51" s="199"/>
      <c r="BA51" s="199"/>
      <c r="BB51" s="199"/>
      <c r="BC51" s="199"/>
      <c r="BD51" s="199"/>
      <c r="BE51" s="199"/>
      <c r="BF51" s="199"/>
      <c r="BG51" s="199"/>
      <c r="BH51" s="199"/>
      <c r="BI51" s="199"/>
      <c r="BJ51" s="199"/>
      <c r="BK51" s="199"/>
      <c r="BL51" s="199"/>
      <c r="BM51" s="199"/>
      <c r="BN51" s="199"/>
      <c r="BO51" s="199"/>
      <c r="BP51" s="199"/>
      <c r="BQ51" s="199"/>
    </row>
    <row r="52" spans="1:69" x14ac:dyDescent="0.2">
      <c r="A52" s="199"/>
      <c r="B52" s="199"/>
      <c r="C52" s="199"/>
      <c r="D52" s="199"/>
      <c r="E52" s="199"/>
      <c r="F52" s="199"/>
      <c r="G52" s="199"/>
      <c r="H52" s="199"/>
      <c r="I52" s="199"/>
      <c r="J52" s="199"/>
      <c r="K52" s="199"/>
      <c r="L52" s="199"/>
      <c r="M52" s="199"/>
      <c r="N52" s="199"/>
      <c r="O52" s="199"/>
      <c r="P52" s="199"/>
      <c r="Q52" s="199"/>
      <c r="R52" s="199"/>
      <c r="S52" s="199"/>
      <c r="T52" s="199"/>
      <c r="U52" s="199"/>
      <c r="V52" s="199"/>
      <c r="W52" s="199"/>
      <c r="X52" s="199"/>
      <c r="Y52" s="199"/>
      <c r="Z52" s="199"/>
      <c r="AA52" s="199"/>
      <c r="AB52" s="199"/>
      <c r="AC52" s="199"/>
      <c r="AD52" s="199"/>
      <c r="AE52" s="199"/>
      <c r="AF52" s="199"/>
      <c r="AG52" s="199"/>
      <c r="AH52" s="199"/>
      <c r="AI52" s="199"/>
      <c r="AJ52" s="199"/>
      <c r="AK52" s="199"/>
      <c r="AL52" s="199"/>
      <c r="AM52" s="199"/>
      <c r="AN52" s="199"/>
      <c r="AO52" s="199"/>
      <c r="AP52" s="199"/>
      <c r="AQ52" s="199"/>
      <c r="AR52" s="199"/>
      <c r="AS52" s="199"/>
      <c r="AT52" s="199"/>
      <c r="AU52" s="199"/>
      <c r="AV52" s="199"/>
      <c r="AW52" s="199"/>
      <c r="AX52" s="199"/>
      <c r="AY52" s="199"/>
      <c r="AZ52" s="199"/>
      <c r="BA52" s="199"/>
      <c r="BB52" s="199"/>
      <c r="BC52" s="199"/>
      <c r="BD52" s="199"/>
      <c r="BE52" s="199"/>
      <c r="BF52" s="199"/>
      <c r="BG52" s="199"/>
      <c r="BH52" s="199"/>
      <c r="BI52" s="199"/>
      <c r="BJ52" s="199"/>
      <c r="BK52" s="199"/>
      <c r="BL52" s="199"/>
      <c r="BM52" s="199"/>
      <c r="BN52" s="199"/>
      <c r="BO52" s="199"/>
      <c r="BP52" s="199"/>
      <c r="BQ52" s="199"/>
    </row>
    <row r="53" spans="1:69" x14ac:dyDescent="0.2">
      <c r="A53" s="199"/>
      <c r="B53" s="199"/>
      <c r="C53" s="199"/>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199"/>
      <c r="AH53" s="199"/>
      <c r="AI53" s="199"/>
      <c r="AJ53" s="199"/>
      <c r="AK53" s="199"/>
      <c r="AL53" s="199"/>
      <c r="AM53" s="199"/>
      <c r="AN53" s="199"/>
      <c r="AO53" s="199"/>
      <c r="AP53" s="199"/>
      <c r="AQ53" s="199"/>
      <c r="AR53" s="199"/>
      <c r="AS53" s="199"/>
      <c r="AT53" s="199"/>
      <c r="AU53" s="199"/>
      <c r="AV53" s="199"/>
      <c r="AW53" s="199"/>
      <c r="AX53" s="199"/>
      <c r="AY53" s="199"/>
      <c r="AZ53" s="199"/>
      <c r="BA53" s="199"/>
      <c r="BB53" s="199"/>
      <c r="BC53" s="199"/>
      <c r="BD53" s="199"/>
      <c r="BE53" s="199"/>
      <c r="BF53" s="199"/>
      <c r="BG53" s="199"/>
      <c r="BH53" s="199"/>
      <c r="BI53" s="199"/>
      <c r="BJ53" s="199"/>
      <c r="BK53" s="199"/>
      <c r="BL53" s="199"/>
      <c r="BM53" s="199"/>
      <c r="BN53" s="199"/>
      <c r="BO53" s="199"/>
      <c r="BP53" s="199"/>
      <c r="BQ53" s="199"/>
    </row>
    <row r="54" spans="1:69" x14ac:dyDescent="0.2">
      <c r="A54" s="199"/>
      <c r="B54" s="199"/>
      <c r="C54" s="199"/>
      <c r="D54" s="199"/>
      <c r="E54" s="199"/>
      <c r="F54" s="199"/>
      <c r="G54" s="199"/>
      <c r="H54" s="199"/>
      <c r="I54" s="199"/>
      <c r="J54" s="199"/>
      <c r="K54" s="199"/>
      <c r="L54" s="199"/>
      <c r="M54" s="199"/>
      <c r="N54" s="199"/>
      <c r="O54" s="199"/>
      <c r="P54" s="199"/>
      <c r="Q54" s="199"/>
      <c r="R54" s="199"/>
      <c r="S54" s="199"/>
      <c r="T54" s="199"/>
      <c r="U54" s="199"/>
      <c r="V54" s="199"/>
      <c r="W54" s="199"/>
      <c r="X54" s="199"/>
      <c r="Y54" s="199"/>
      <c r="Z54" s="199"/>
      <c r="AA54" s="199"/>
      <c r="AB54" s="199"/>
      <c r="AC54" s="199"/>
      <c r="AD54" s="199"/>
      <c r="AE54" s="199"/>
      <c r="AF54" s="199"/>
      <c r="AG54" s="199"/>
      <c r="AH54" s="199"/>
      <c r="AI54" s="199"/>
      <c r="AJ54" s="199"/>
      <c r="AK54" s="199"/>
      <c r="AL54" s="199"/>
      <c r="AM54" s="199"/>
      <c r="AN54" s="199"/>
      <c r="AO54" s="199"/>
      <c r="AP54" s="199"/>
      <c r="AQ54" s="199"/>
      <c r="AR54" s="199"/>
      <c r="AS54" s="199"/>
      <c r="AT54" s="199"/>
      <c r="AU54" s="199"/>
      <c r="AV54" s="199"/>
      <c r="AW54" s="199"/>
      <c r="AX54" s="199"/>
      <c r="AY54" s="199"/>
      <c r="AZ54" s="199"/>
      <c r="BA54" s="199"/>
      <c r="BB54" s="199"/>
      <c r="BC54" s="199"/>
      <c r="BD54" s="199"/>
      <c r="BE54" s="199"/>
      <c r="BF54" s="199"/>
      <c r="BG54" s="199"/>
      <c r="BH54" s="199"/>
      <c r="BI54" s="199"/>
      <c r="BJ54" s="199"/>
      <c r="BK54" s="199"/>
      <c r="BL54" s="199"/>
      <c r="BM54" s="199"/>
      <c r="BN54" s="199"/>
      <c r="BO54" s="199"/>
      <c r="BP54" s="199"/>
      <c r="BQ54" s="199"/>
    </row>
    <row r="55" spans="1:69" x14ac:dyDescent="0.2">
      <c r="A55" s="199"/>
      <c r="B55" s="199"/>
      <c r="C55" s="199"/>
      <c r="D55" s="199"/>
      <c r="E55" s="199"/>
      <c r="F55" s="199"/>
      <c r="G55" s="199"/>
      <c r="H55" s="199"/>
      <c r="I55" s="199"/>
      <c r="J55" s="199"/>
      <c r="K55" s="199"/>
      <c r="L55" s="199"/>
      <c r="M55" s="199"/>
      <c r="N55" s="199"/>
      <c r="O55" s="199"/>
      <c r="P55" s="199"/>
      <c r="Q55" s="199"/>
      <c r="R55" s="199"/>
      <c r="S55" s="199"/>
      <c r="T55" s="199"/>
      <c r="U55" s="199"/>
      <c r="V55" s="199"/>
      <c r="W55" s="199"/>
      <c r="X55" s="199"/>
      <c r="Y55" s="199"/>
      <c r="Z55" s="199"/>
      <c r="AA55" s="199"/>
      <c r="AB55" s="199"/>
      <c r="AC55" s="199"/>
      <c r="AD55" s="199"/>
      <c r="AE55" s="199"/>
      <c r="AF55" s="199"/>
      <c r="AG55" s="199"/>
      <c r="AH55" s="199"/>
      <c r="AI55" s="199"/>
      <c r="AJ55" s="199"/>
      <c r="AK55" s="199"/>
      <c r="AL55" s="199"/>
      <c r="AM55" s="199"/>
      <c r="AN55" s="199"/>
      <c r="AO55" s="199"/>
      <c r="AP55" s="199"/>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row>
    <row r="56" spans="1:69" x14ac:dyDescent="0.2">
      <c r="A56" s="199"/>
      <c r="B56" s="199"/>
      <c r="C56" s="199"/>
      <c r="D56" s="199"/>
      <c r="E56" s="199"/>
      <c r="F56" s="199"/>
      <c r="G56" s="199"/>
      <c r="H56" s="199"/>
      <c r="I56" s="199"/>
      <c r="J56" s="199"/>
      <c r="K56" s="199"/>
      <c r="L56" s="199"/>
      <c r="M56" s="199"/>
      <c r="N56" s="199"/>
      <c r="O56" s="199"/>
      <c r="P56" s="199"/>
      <c r="Q56" s="199"/>
      <c r="R56" s="199"/>
      <c r="S56" s="199"/>
      <c r="T56" s="199"/>
      <c r="U56" s="199"/>
      <c r="V56" s="199"/>
      <c r="W56" s="199"/>
      <c r="X56" s="199"/>
      <c r="Y56" s="199"/>
      <c r="Z56" s="199"/>
      <c r="AA56" s="199"/>
      <c r="AB56" s="199"/>
      <c r="AC56" s="199"/>
      <c r="AD56" s="199"/>
      <c r="AE56" s="199"/>
      <c r="AF56" s="199"/>
      <c r="AG56" s="199"/>
      <c r="AH56" s="199"/>
      <c r="AI56" s="199"/>
      <c r="AJ56" s="199"/>
      <c r="AK56" s="199"/>
      <c r="AL56" s="199"/>
      <c r="AM56" s="199"/>
      <c r="AN56" s="199"/>
      <c r="AO56" s="199"/>
      <c r="AP56" s="199"/>
      <c r="AQ56" s="199"/>
      <c r="AR56" s="199"/>
      <c r="AS56" s="199"/>
      <c r="AT56" s="199"/>
      <c r="AU56" s="199"/>
      <c r="AV56" s="199"/>
      <c r="AW56" s="199"/>
      <c r="AX56" s="199"/>
      <c r="AY56" s="199"/>
      <c r="AZ56" s="199"/>
      <c r="BA56" s="199"/>
      <c r="BB56" s="199"/>
      <c r="BC56" s="199"/>
      <c r="BD56" s="199"/>
      <c r="BE56" s="199"/>
      <c r="BF56" s="199"/>
      <c r="BG56" s="199"/>
      <c r="BH56" s="199"/>
      <c r="BI56" s="199"/>
      <c r="BJ56" s="199"/>
      <c r="BK56" s="199"/>
      <c r="BL56" s="199"/>
      <c r="BM56" s="199"/>
      <c r="BN56" s="199"/>
      <c r="BO56" s="199"/>
      <c r="BP56" s="199"/>
      <c r="BQ56" s="199"/>
    </row>
    <row r="57" spans="1:69" x14ac:dyDescent="0.2">
      <c r="A57" s="199"/>
      <c r="B57" s="199"/>
      <c r="C57" s="199"/>
      <c r="D57" s="199"/>
      <c r="E57" s="199"/>
      <c r="F57" s="199"/>
      <c r="G57" s="199"/>
      <c r="H57" s="199"/>
      <c r="I57" s="199"/>
      <c r="J57" s="199"/>
      <c r="K57" s="199"/>
      <c r="L57" s="199"/>
      <c r="M57" s="199"/>
      <c r="N57" s="199"/>
      <c r="O57" s="199"/>
      <c r="P57" s="199"/>
      <c r="Q57" s="199"/>
      <c r="R57" s="199"/>
      <c r="S57" s="199"/>
      <c r="T57" s="199"/>
      <c r="U57" s="199"/>
      <c r="V57" s="199"/>
      <c r="W57" s="199"/>
      <c r="X57" s="199"/>
      <c r="Y57" s="199"/>
      <c r="Z57" s="199"/>
      <c r="AA57" s="199"/>
      <c r="AB57" s="199"/>
      <c r="AC57" s="199"/>
      <c r="AD57" s="199"/>
      <c r="AE57" s="199"/>
      <c r="AF57" s="199"/>
      <c r="AG57" s="199"/>
      <c r="AH57" s="199"/>
      <c r="AI57" s="199"/>
      <c r="AJ57" s="199"/>
      <c r="AK57" s="199"/>
      <c r="AL57" s="199"/>
      <c r="AM57" s="199"/>
      <c r="AN57" s="199"/>
      <c r="AO57" s="199"/>
      <c r="AP57" s="199"/>
      <c r="AQ57" s="199"/>
      <c r="AR57" s="199"/>
      <c r="AS57" s="199"/>
      <c r="AT57" s="199"/>
      <c r="AU57" s="199"/>
      <c r="AV57" s="199"/>
      <c r="AW57" s="199"/>
      <c r="AX57" s="199"/>
      <c r="AY57" s="199"/>
      <c r="AZ57" s="199"/>
      <c r="BA57" s="199"/>
      <c r="BB57" s="199"/>
      <c r="BC57" s="199"/>
      <c r="BD57" s="199"/>
      <c r="BE57" s="199"/>
      <c r="BF57" s="199"/>
      <c r="BG57" s="199"/>
      <c r="BH57" s="199"/>
      <c r="BI57" s="199"/>
      <c r="BJ57" s="199"/>
      <c r="BK57" s="199"/>
      <c r="BL57" s="199"/>
      <c r="BM57" s="199"/>
      <c r="BN57" s="199"/>
      <c r="BO57" s="199"/>
      <c r="BP57" s="199"/>
      <c r="BQ57" s="199"/>
    </row>
    <row r="58" spans="1:69" x14ac:dyDescent="0.2">
      <c r="A58" s="199"/>
      <c r="B58" s="199"/>
      <c r="C58" s="199"/>
      <c r="D58" s="199"/>
      <c r="E58" s="199"/>
      <c r="F58" s="199"/>
      <c r="G58" s="199"/>
      <c r="H58" s="199"/>
      <c r="I58" s="199"/>
      <c r="J58" s="199"/>
      <c r="K58" s="199"/>
      <c r="L58" s="199"/>
      <c r="M58" s="199"/>
      <c r="N58" s="199"/>
      <c r="O58" s="199"/>
      <c r="P58" s="199"/>
      <c r="Q58" s="199"/>
      <c r="R58" s="199"/>
      <c r="S58" s="199"/>
      <c r="T58" s="199"/>
      <c r="U58" s="199"/>
      <c r="V58" s="199"/>
      <c r="W58" s="199"/>
      <c r="X58" s="199"/>
      <c r="Y58" s="199"/>
      <c r="Z58" s="199"/>
      <c r="AA58" s="199"/>
      <c r="AB58" s="199"/>
      <c r="AC58" s="199"/>
      <c r="AD58" s="199"/>
      <c r="AE58" s="199"/>
      <c r="AF58" s="199"/>
      <c r="AG58" s="199"/>
      <c r="AH58" s="199"/>
      <c r="AI58" s="199"/>
      <c r="AJ58" s="199"/>
      <c r="AK58" s="199"/>
      <c r="AL58" s="199"/>
      <c r="AM58" s="199"/>
      <c r="AN58" s="199"/>
      <c r="AO58" s="199"/>
      <c r="AP58" s="199"/>
      <c r="AQ58" s="199"/>
      <c r="AR58" s="199"/>
      <c r="AS58" s="199"/>
      <c r="AT58" s="199"/>
      <c r="AU58" s="199"/>
      <c r="AV58" s="199"/>
      <c r="AW58" s="199"/>
      <c r="AX58" s="199"/>
      <c r="AY58" s="199"/>
      <c r="AZ58" s="199"/>
      <c r="BA58" s="199"/>
      <c r="BB58" s="199"/>
      <c r="BC58" s="199"/>
      <c r="BD58" s="199"/>
      <c r="BE58" s="199"/>
      <c r="BF58" s="199"/>
      <c r="BG58" s="199"/>
      <c r="BH58" s="199"/>
      <c r="BI58" s="199"/>
      <c r="BJ58" s="199"/>
      <c r="BK58" s="199"/>
      <c r="BL58" s="199"/>
      <c r="BM58" s="199"/>
      <c r="BN58" s="199"/>
      <c r="BO58" s="199"/>
      <c r="BP58" s="199"/>
      <c r="BQ58" s="199"/>
    </row>
    <row r="59" spans="1:69" x14ac:dyDescent="0.2">
      <c r="A59" s="199"/>
      <c r="B59" s="199"/>
      <c r="C59" s="199"/>
      <c r="D59" s="199"/>
      <c r="E59" s="199"/>
      <c r="F59" s="199"/>
      <c r="G59" s="199"/>
      <c r="H59" s="199"/>
      <c r="I59" s="199"/>
      <c r="J59" s="199"/>
      <c r="K59" s="199"/>
      <c r="L59" s="199"/>
      <c r="M59" s="199"/>
      <c r="N59" s="199"/>
      <c r="O59" s="199"/>
      <c r="P59" s="199"/>
      <c r="Q59" s="199"/>
      <c r="R59" s="199"/>
      <c r="S59" s="199"/>
      <c r="T59" s="199"/>
      <c r="U59" s="199"/>
      <c r="V59" s="199"/>
      <c r="W59" s="199"/>
      <c r="X59" s="199"/>
      <c r="Y59" s="199"/>
      <c r="Z59" s="199"/>
      <c r="AA59" s="199"/>
      <c r="AB59" s="199"/>
      <c r="AC59" s="199"/>
      <c r="AD59" s="199"/>
      <c r="AE59" s="199"/>
      <c r="AF59" s="199"/>
      <c r="AG59" s="199"/>
      <c r="AH59" s="199"/>
      <c r="AI59" s="199"/>
      <c r="AJ59" s="199"/>
      <c r="AK59" s="199"/>
      <c r="AL59" s="199"/>
      <c r="AM59" s="199"/>
      <c r="AN59" s="199"/>
      <c r="AO59" s="199"/>
      <c r="AP59" s="199"/>
      <c r="AQ59" s="199"/>
      <c r="AR59" s="199"/>
      <c r="AS59" s="199"/>
      <c r="AT59" s="199"/>
      <c r="AU59" s="199"/>
      <c r="AV59" s="199"/>
      <c r="AW59" s="199"/>
      <c r="AX59" s="199"/>
      <c r="AY59" s="199"/>
      <c r="AZ59" s="199"/>
      <c r="BA59" s="199"/>
      <c r="BB59" s="199"/>
      <c r="BC59" s="199"/>
      <c r="BD59" s="199"/>
      <c r="BE59" s="199"/>
      <c r="BF59" s="199"/>
      <c r="BG59" s="199"/>
      <c r="BH59" s="199"/>
      <c r="BI59" s="199"/>
      <c r="BJ59" s="199"/>
      <c r="BK59" s="199"/>
      <c r="BL59" s="199"/>
      <c r="BM59" s="199"/>
      <c r="BN59" s="199"/>
      <c r="BO59" s="199"/>
      <c r="BP59" s="199"/>
      <c r="BQ59" s="199"/>
    </row>
    <row r="60" spans="1:69" x14ac:dyDescent="0.2">
      <c r="J60" s="199"/>
      <c r="K60" s="199"/>
      <c r="L60" s="199"/>
      <c r="M60" s="199"/>
      <c r="N60" s="199"/>
      <c r="O60" s="199"/>
      <c r="P60" s="199"/>
      <c r="Q60" s="199"/>
      <c r="R60" s="199"/>
      <c r="S60" s="199"/>
      <c r="T60" s="199"/>
      <c r="U60" s="199"/>
      <c r="V60" s="199"/>
      <c r="W60" s="199"/>
      <c r="X60" s="199"/>
      <c r="Y60" s="199"/>
      <c r="Z60" s="199"/>
      <c r="AA60" s="199"/>
      <c r="AB60" s="199"/>
      <c r="AC60" s="199"/>
      <c r="AD60" s="199"/>
      <c r="AE60" s="199"/>
      <c r="AF60" s="199"/>
      <c r="AG60" s="199"/>
      <c r="AH60" s="199"/>
      <c r="AI60" s="199"/>
      <c r="AJ60" s="199"/>
      <c r="AK60" s="199"/>
      <c r="AL60" s="199"/>
      <c r="AM60" s="199"/>
      <c r="AN60" s="199"/>
      <c r="AO60" s="199"/>
      <c r="AP60" s="199"/>
      <c r="AQ60" s="199"/>
      <c r="AR60" s="199"/>
      <c r="AS60" s="199"/>
      <c r="AT60" s="199"/>
      <c r="AU60" s="199"/>
      <c r="AV60" s="199"/>
      <c r="AW60" s="199"/>
      <c r="AX60" s="199"/>
      <c r="AY60" s="199"/>
      <c r="AZ60" s="199"/>
      <c r="BA60" s="199"/>
      <c r="BB60" s="199"/>
      <c r="BC60" s="199"/>
      <c r="BD60" s="199"/>
      <c r="BE60" s="199"/>
      <c r="BF60" s="199"/>
      <c r="BG60" s="199"/>
      <c r="BH60" s="199"/>
      <c r="BI60" s="199"/>
      <c r="BJ60" s="199"/>
      <c r="BK60" s="199"/>
      <c r="BL60" s="199"/>
      <c r="BM60" s="199"/>
      <c r="BN60" s="199"/>
      <c r="BO60" s="199"/>
      <c r="BP60" s="199"/>
      <c r="BQ60" s="199"/>
    </row>
    <row r="61" spans="1:69" x14ac:dyDescent="0.2">
      <c r="J61" s="199"/>
      <c r="K61" s="199"/>
      <c r="L61" s="199"/>
      <c r="M61" s="199"/>
      <c r="N61" s="199"/>
      <c r="O61" s="199"/>
      <c r="P61" s="199"/>
      <c r="Q61" s="199"/>
      <c r="R61" s="199"/>
      <c r="S61" s="199"/>
      <c r="T61" s="199"/>
      <c r="U61" s="199"/>
      <c r="V61" s="199"/>
      <c r="W61" s="199"/>
      <c r="X61" s="199"/>
      <c r="Y61" s="199"/>
      <c r="Z61" s="199"/>
      <c r="AA61" s="199"/>
      <c r="AB61" s="199"/>
      <c r="AC61" s="199"/>
      <c r="AD61" s="199"/>
      <c r="AE61" s="199"/>
      <c r="AF61" s="199"/>
      <c r="AG61" s="199"/>
      <c r="AH61" s="199"/>
      <c r="AI61" s="199"/>
      <c r="AJ61" s="199"/>
      <c r="AK61" s="199"/>
      <c r="AL61" s="199"/>
      <c r="AM61" s="199"/>
      <c r="AN61" s="199"/>
      <c r="AO61" s="199"/>
      <c r="AP61" s="199"/>
      <c r="AQ61" s="199"/>
      <c r="AR61" s="199"/>
      <c r="AS61" s="199"/>
      <c r="AT61" s="199"/>
      <c r="AU61" s="199"/>
      <c r="AV61" s="199"/>
      <c r="AW61" s="199"/>
      <c r="AX61" s="199"/>
      <c r="AY61" s="199"/>
      <c r="AZ61" s="199"/>
      <c r="BA61" s="199"/>
      <c r="BB61" s="199"/>
      <c r="BC61" s="199"/>
      <c r="BD61" s="199"/>
      <c r="BE61" s="199"/>
      <c r="BF61" s="199"/>
      <c r="BG61" s="199"/>
      <c r="BH61" s="199"/>
      <c r="BI61" s="199"/>
      <c r="BJ61" s="199"/>
      <c r="BK61" s="199"/>
      <c r="BL61" s="199"/>
      <c r="BM61" s="199"/>
      <c r="BN61" s="199"/>
      <c r="BO61" s="199"/>
      <c r="BP61" s="199"/>
      <c r="BQ61" s="199"/>
    </row>
    <row r="62" spans="1:69" x14ac:dyDescent="0.2">
      <c r="J62" s="199"/>
      <c r="K62" s="199"/>
      <c r="L62" s="199"/>
      <c r="M62" s="199"/>
      <c r="N62" s="199"/>
      <c r="O62" s="199"/>
      <c r="P62" s="199"/>
      <c r="Q62" s="199"/>
      <c r="R62" s="199"/>
      <c r="S62" s="199"/>
      <c r="T62" s="199"/>
      <c r="U62" s="199"/>
      <c r="V62" s="199"/>
      <c r="W62" s="199"/>
      <c r="X62" s="199"/>
      <c r="Y62" s="199"/>
      <c r="Z62" s="199"/>
      <c r="AA62" s="199"/>
      <c r="AB62" s="199"/>
      <c r="AC62" s="199"/>
      <c r="AD62" s="199"/>
      <c r="AE62" s="199"/>
      <c r="AF62" s="199"/>
      <c r="AG62" s="199"/>
      <c r="AH62" s="199"/>
      <c r="AI62" s="199"/>
      <c r="AJ62" s="199"/>
      <c r="AK62" s="199"/>
      <c r="AL62" s="199"/>
      <c r="AM62" s="199"/>
      <c r="AN62" s="199"/>
      <c r="AO62" s="199"/>
      <c r="AP62" s="199"/>
      <c r="AQ62" s="199"/>
      <c r="AR62" s="199"/>
      <c r="AS62" s="199"/>
      <c r="AT62" s="199"/>
      <c r="AU62" s="199"/>
      <c r="AV62" s="199"/>
      <c r="AW62" s="199"/>
      <c r="AX62" s="199"/>
      <c r="AY62" s="199"/>
      <c r="AZ62" s="199"/>
      <c r="BA62" s="199"/>
      <c r="BB62" s="199"/>
      <c r="BC62" s="199"/>
      <c r="BD62" s="199"/>
      <c r="BE62" s="199"/>
      <c r="BF62" s="199"/>
      <c r="BG62" s="199"/>
      <c r="BH62" s="199"/>
      <c r="BI62" s="199"/>
      <c r="BJ62" s="199"/>
      <c r="BK62" s="199"/>
      <c r="BL62" s="199"/>
      <c r="BM62" s="199"/>
      <c r="BN62" s="199"/>
      <c r="BO62" s="199"/>
      <c r="BP62" s="199"/>
      <c r="BQ62" s="199"/>
    </row>
    <row r="63" spans="1:69" x14ac:dyDescent="0.2">
      <c r="J63" s="199"/>
      <c r="K63" s="199"/>
      <c r="L63" s="199"/>
      <c r="M63" s="199"/>
      <c r="N63" s="199"/>
      <c r="O63" s="199"/>
      <c r="P63" s="199"/>
      <c r="Q63" s="199"/>
      <c r="R63" s="199"/>
      <c r="S63" s="199"/>
      <c r="T63" s="199"/>
      <c r="U63" s="199"/>
      <c r="V63" s="199"/>
      <c r="W63" s="199"/>
      <c r="X63" s="199"/>
      <c r="Y63" s="199"/>
      <c r="Z63" s="199"/>
      <c r="AA63" s="199"/>
      <c r="AB63" s="199"/>
      <c r="AC63" s="199"/>
      <c r="AD63" s="199"/>
      <c r="AE63" s="199"/>
      <c r="AF63" s="199"/>
      <c r="AG63" s="199"/>
      <c r="AH63" s="199"/>
      <c r="AI63" s="199"/>
      <c r="AJ63" s="199"/>
      <c r="AK63" s="199"/>
      <c r="AL63" s="199"/>
      <c r="AM63" s="199"/>
      <c r="AN63" s="199"/>
      <c r="AO63" s="199"/>
      <c r="AP63" s="199"/>
      <c r="AQ63" s="199"/>
      <c r="AR63" s="199"/>
      <c r="AS63" s="199"/>
      <c r="AT63" s="199"/>
      <c r="AU63" s="199"/>
      <c r="AV63" s="199"/>
      <c r="AW63" s="199"/>
      <c r="AX63" s="199"/>
      <c r="AY63" s="199"/>
      <c r="AZ63" s="199"/>
      <c r="BA63" s="199"/>
      <c r="BB63" s="199"/>
      <c r="BC63" s="199"/>
      <c r="BD63" s="199"/>
      <c r="BE63" s="199"/>
      <c r="BF63" s="199"/>
      <c r="BG63" s="199"/>
      <c r="BH63" s="199"/>
      <c r="BI63" s="199"/>
      <c r="BJ63" s="199"/>
      <c r="BK63" s="199"/>
      <c r="BL63" s="199"/>
      <c r="BM63" s="199"/>
      <c r="BN63" s="199"/>
      <c r="BO63" s="199"/>
      <c r="BP63" s="199"/>
      <c r="BQ63" s="199"/>
    </row>
    <row r="64" spans="1:69" x14ac:dyDescent="0.2">
      <c r="J64" s="199"/>
      <c r="K64" s="199"/>
      <c r="L64" s="199"/>
      <c r="M64" s="199"/>
      <c r="N64" s="199"/>
      <c r="O64" s="199"/>
      <c r="P64" s="199"/>
      <c r="Q64" s="199"/>
      <c r="R64" s="199"/>
      <c r="S64" s="199"/>
      <c r="T64" s="199"/>
      <c r="U64" s="199"/>
      <c r="V64" s="199"/>
      <c r="W64" s="199"/>
      <c r="X64" s="199"/>
      <c r="Y64" s="199"/>
      <c r="Z64" s="199"/>
      <c r="AA64" s="199"/>
      <c r="AB64" s="199"/>
      <c r="AC64" s="199"/>
      <c r="AD64" s="199"/>
      <c r="AE64" s="199"/>
      <c r="AF64" s="199"/>
      <c r="AG64" s="199"/>
      <c r="AH64" s="199"/>
      <c r="AI64" s="199"/>
      <c r="AJ64" s="199"/>
      <c r="AK64" s="199"/>
      <c r="AL64" s="199"/>
      <c r="AM64" s="199"/>
      <c r="AN64" s="199"/>
      <c r="AO64" s="199"/>
      <c r="AP64" s="199"/>
      <c r="AQ64" s="199"/>
      <c r="AR64" s="199"/>
      <c r="AS64" s="199"/>
      <c r="AT64" s="199"/>
      <c r="AU64" s="199"/>
      <c r="AV64" s="199"/>
      <c r="AW64" s="199"/>
      <c r="AX64" s="199"/>
      <c r="AY64" s="199"/>
      <c r="AZ64" s="199"/>
      <c r="BA64" s="199"/>
      <c r="BB64" s="199"/>
      <c r="BC64" s="199"/>
      <c r="BD64" s="199"/>
      <c r="BE64" s="199"/>
      <c r="BF64" s="199"/>
      <c r="BG64" s="199"/>
      <c r="BH64" s="199"/>
      <c r="BI64" s="199"/>
      <c r="BJ64" s="199"/>
      <c r="BK64" s="199"/>
      <c r="BL64" s="199"/>
      <c r="BM64" s="199"/>
      <c r="BN64" s="199"/>
      <c r="BO64" s="199"/>
      <c r="BP64" s="199"/>
      <c r="BQ64" s="199"/>
    </row>
    <row r="65" spans="10:69" x14ac:dyDescent="0.2">
      <c r="J65" s="199"/>
      <c r="K65" s="199"/>
      <c r="L65" s="199"/>
      <c r="M65" s="199"/>
      <c r="N65" s="199"/>
      <c r="O65" s="199"/>
      <c r="P65" s="199"/>
      <c r="Q65" s="199"/>
      <c r="R65" s="199"/>
      <c r="S65" s="199"/>
      <c r="T65" s="199"/>
      <c r="U65" s="199"/>
      <c r="V65" s="199"/>
      <c r="W65" s="199"/>
      <c r="X65" s="199"/>
      <c r="Y65" s="199"/>
      <c r="Z65" s="199"/>
      <c r="AA65" s="199"/>
      <c r="AB65" s="199"/>
      <c r="AC65" s="199"/>
      <c r="AD65" s="199"/>
      <c r="AE65" s="199"/>
      <c r="AF65" s="199"/>
      <c r="AG65" s="199"/>
      <c r="AH65" s="199"/>
      <c r="AI65" s="199"/>
      <c r="AJ65" s="199"/>
      <c r="AK65" s="199"/>
      <c r="AL65" s="199"/>
      <c r="AM65" s="199"/>
      <c r="AN65" s="199"/>
      <c r="AO65" s="199"/>
      <c r="AP65" s="199"/>
      <c r="AQ65" s="199"/>
      <c r="AR65" s="199"/>
      <c r="AS65" s="199"/>
      <c r="AT65" s="199"/>
      <c r="AU65" s="199"/>
      <c r="AV65" s="199"/>
      <c r="AW65" s="199"/>
      <c r="AX65" s="199"/>
      <c r="AY65" s="199"/>
      <c r="AZ65" s="199"/>
      <c r="BA65" s="199"/>
      <c r="BB65" s="199"/>
      <c r="BC65" s="199"/>
      <c r="BD65" s="199"/>
      <c r="BE65" s="199"/>
      <c r="BF65" s="199"/>
      <c r="BG65" s="199"/>
      <c r="BH65" s="199"/>
      <c r="BI65" s="199"/>
      <c r="BJ65" s="199"/>
      <c r="BK65" s="199"/>
      <c r="BL65" s="199"/>
      <c r="BM65" s="199"/>
      <c r="BN65" s="199"/>
      <c r="BO65" s="199"/>
      <c r="BP65" s="199"/>
      <c r="BQ65" s="199"/>
    </row>
    <row r="66" spans="10:69" x14ac:dyDescent="0.2">
      <c r="J66" s="199"/>
      <c r="K66" s="199"/>
      <c r="L66" s="199"/>
      <c r="M66" s="199"/>
      <c r="N66" s="199"/>
      <c r="O66" s="199"/>
      <c r="P66" s="199"/>
      <c r="Q66" s="199"/>
      <c r="R66" s="199"/>
      <c r="S66" s="199"/>
      <c r="T66" s="199"/>
      <c r="U66" s="199"/>
      <c r="V66" s="199"/>
      <c r="W66" s="199"/>
      <c r="X66" s="199"/>
      <c r="Y66" s="199"/>
      <c r="Z66" s="199"/>
      <c r="AA66" s="199"/>
      <c r="AB66" s="199"/>
      <c r="AC66" s="199"/>
      <c r="AD66" s="199"/>
      <c r="AE66" s="199"/>
      <c r="AF66" s="199"/>
      <c r="AG66" s="199"/>
      <c r="AH66" s="199"/>
      <c r="AI66" s="199"/>
      <c r="AJ66" s="199"/>
      <c r="AK66" s="199"/>
      <c r="AL66" s="199"/>
      <c r="AM66" s="199"/>
      <c r="AN66" s="199"/>
      <c r="AO66" s="199"/>
      <c r="AP66" s="199"/>
      <c r="AQ66" s="199"/>
      <c r="AR66" s="199"/>
      <c r="AS66" s="199"/>
      <c r="AT66" s="199"/>
      <c r="AU66" s="199"/>
      <c r="AV66" s="199"/>
      <c r="AW66" s="199"/>
      <c r="AX66" s="199"/>
      <c r="AY66" s="199"/>
      <c r="AZ66" s="199"/>
      <c r="BA66" s="199"/>
      <c r="BB66" s="199"/>
      <c r="BC66" s="199"/>
      <c r="BD66" s="199"/>
      <c r="BE66" s="199"/>
      <c r="BF66" s="199"/>
      <c r="BG66" s="199"/>
      <c r="BH66" s="199"/>
      <c r="BI66" s="199"/>
      <c r="BJ66" s="199"/>
      <c r="BK66" s="199"/>
      <c r="BL66" s="199"/>
      <c r="BM66" s="199"/>
      <c r="BN66" s="199"/>
      <c r="BO66" s="199"/>
      <c r="BP66" s="199"/>
      <c r="BQ66" s="199"/>
    </row>
    <row r="67" spans="10:69" x14ac:dyDescent="0.2">
      <c r="J67" s="199"/>
      <c r="K67" s="199"/>
      <c r="L67" s="199"/>
      <c r="M67" s="199"/>
      <c r="N67" s="199"/>
      <c r="O67" s="199"/>
      <c r="P67" s="199"/>
      <c r="Q67" s="199"/>
      <c r="R67" s="199"/>
      <c r="S67" s="199"/>
      <c r="T67" s="199"/>
      <c r="U67" s="199"/>
      <c r="V67" s="199"/>
      <c r="W67" s="199"/>
      <c r="X67" s="199"/>
      <c r="Y67" s="199"/>
      <c r="Z67" s="199"/>
      <c r="AA67" s="199"/>
      <c r="AB67" s="199"/>
      <c r="AC67" s="199"/>
      <c r="AD67" s="199"/>
      <c r="AE67" s="199"/>
      <c r="AF67" s="199"/>
      <c r="AG67" s="199"/>
      <c r="AH67" s="199"/>
      <c r="AI67" s="199"/>
      <c r="AJ67" s="199"/>
      <c r="AK67" s="199"/>
      <c r="AL67" s="199"/>
      <c r="AM67" s="199"/>
      <c r="AN67" s="199"/>
      <c r="AO67" s="199"/>
      <c r="AP67" s="199"/>
      <c r="AQ67" s="199"/>
      <c r="AR67" s="199"/>
      <c r="AS67" s="199"/>
      <c r="AT67" s="199"/>
      <c r="AU67" s="199"/>
      <c r="AV67" s="199"/>
      <c r="AW67" s="199"/>
      <c r="AX67" s="199"/>
      <c r="AY67" s="199"/>
      <c r="AZ67" s="199"/>
      <c r="BA67" s="199"/>
      <c r="BB67" s="199"/>
      <c r="BC67" s="199"/>
      <c r="BD67" s="199"/>
      <c r="BE67" s="199"/>
      <c r="BF67" s="199"/>
      <c r="BG67" s="199"/>
      <c r="BH67" s="199"/>
      <c r="BI67" s="199"/>
      <c r="BJ67" s="199"/>
      <c r="BK67" s="199"/>
      <c r="BL67" s="199"/>
      <c r="BM67" s="199"/>
      <c r="BN67" s="199"/>
      <c r="BO67" s="199"/>
      <c r="BP67" s="199"/>
      <c r="BQ67" s="199"/>
    </row>
    <row r="68" spans="10:69" x14ac:dyDescent="0.2">
      <c r="J68" s="199"/>
      <c r="K68" s="199"/>
      <c r="L68" s="199"/>
      <c r="M68" s="199"/>
      <c r="N68" s="199"/>
      <c r="O68" s="199"/>
      <c r="P68" s="199"/>
      <c r="Q68" s="199"/>
      <c r="R68" s="199"/>
      <c r="S68" s="199"/>
      <c r="T68" s="199"/>
      <c r="U68" s="199"/>
      <c r="V68" s="199"/>
      <c r="W68" s="199"/>
      <c r="X68" s="199"/>
      <c r="Y68" s="199"/>
      <c r="Z68" s="199"/>
      <c r="AA68" s="199"/>
      <c r="AB68" s="199"/>
      <c r="AC68" s="199"/>
      <c r="AD68" s="199"/>
      <c r="AE68" s="199"/>
      <c r="AF68" s="199"/>
      <c r="AG68" s="199"/>
      <c r="AH68" s="199"/>
      <c r="AI68" s="199"/>
      <c r="AJ68" s="199"/>
      <c r="AK68" s="199"/>
      <c r="AL68" s="199"/>
      <c r="AM68" s="199"/>
      <c r="AN68" s="199"/>
      <c r="AO68" s="199"/>
      <c r="AP68" s="199"/>
      <c r="AQ68" s="199"/>
      <c r="AR68" s="199"/>
      <c r="AS68" s="199"/>
      <c r="AT68" s="199"/>
      <c r="AU68" s="199"/>
      <c r="AV68" s="199"/>
      <c r="AW68" s="199"/>
      <c r="AX68" s="199"/>
      <c r="AY68" s="199"/>
      <c r="AZ68" s="199"/>
      <c r="BA68" s="199"/>
      <c r="BB68" s="199"/>
      <c r="BC68" s="199"/>
      <c r="BD68" s="199"/>
      <c r="BE68" s="199"/>
      <c r="BF68" s="199"/>
      <c r="BG68" s="199"/>
      <c r="BH68" s="199"/>
      <c r="BI68" s="199"/>
      <c r="BJ68" s="199"/>
      <c r="BK68" s="199"/>
      <c r="BL68" s="199"/>
      <c r="BM68" s="199"/>
      <c r="BN68" s="199"/>
      <c r="BO68" s="199"/>
      <c r="BP68" s="199"/>
      <c r="BQ68" s="199"/>
    </row>
  </sheetData>
  <sheetProtection sheet="1" objects="1" scenarios="1"/>
  <mergeCells count="1">
    <mergeCell ref="C17:E17"/>
  </mergeCells>
  <conditionalFormatting sqref="A12:C14">
    <cfRule type="expression" dxfId="186" priority="1">
      <formula>$B$11=$A$35</formula>
    </cfRule>
    <cfRule type="expression" dxfId="185" priority="2">
      <formula>$B$11=$A$34</formula>
    </cfRule>
  </conditionalFormatting>
  <dataValidations count="6">
    <dataValidation type="list" allowBlank="1" showInputMessage="1" showErrorMessage="1" sqref="B10" xr:uid="{781C7F6E-C91A-40AF-8AA0-58BA901BBD59}">
      <formula1>$A$37:$A$38</formula1>
    </dataValidation>
    <dataValidation type="list" allowBlank="1" showInputMessage="1" showErrorMessage="1" sqref="B11" xr:uid="{6CC888DA-0A2B-47CB-866D-196CA5D210A5}">
      <formula1>$A$34:$A$36</formula1>
    </dataValidation>
    <dataValidation type="list" allowBlank="1" showInputMessage="1" showErrorMessage="1" sqref="D2" xr:uid="{E9ED4B4C-7280-4E66-99CC-804FE3B38992}">
      <formula1>$BW$16:$CJ$16</formula1>
    </dataValidation>
    <dataValidation type="list" allowBlank="1" showInputMessage="1" showErrorMessage="1" sqref="B2" xr:uid="{A6CDACBB-DFD1-456C-AD40-C89E69A3859D}">
      <formula1>$A$33:$N$33</formula1>
    </dataValidation>
    <dataValidation type="list" allowBlank="1" showInputMessage="1" showErrorMessage="1" sqref="B9" xr:uid="{7327ED78-7CFA-43F7-9396-1A05F0D131A1}">
      <formula1>$A$39:$A$41</formula1>
    </dataValidation>
    <dataValidation type="list" allowBlank="1" showInputMessage="1" showErrorMessage="1" sqref="B20" xr:uid="{94CACC68-4EE4-40E1-8FB3-A59172D6E63C}">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25B09-B08B-4AC4-B76E-7B1EAB58EEEC}">
  <dimension ref="A1:DT984"/>
  <sheetViews>
    <sheetView rightToLeft="1" topLeftCell="A6" zoomScaleNormal="100" workbookViewId="0">
      <selection activeCell="C25" sqref="C25"/>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5"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3" t="s">
        <v>52</v>
      </c>
      <c r="C1" s="24"/>
      <c r="D1" s="25"/>
      <c r="E1" s="25"/>
      <c r="F1" s="26"/>
      <c r="G1" s="27"/>
      <c r="H1" s="27" t="s">
        <v>53</v>
      </c>
      <c r="I1" s="27"/>
      <c r="J1" s="27"/>
      <c r="K1" s="27"/>
      <c r="L1" s="27"/>
      <c r="M1" s="27"/>
      <c r="N1" s="27"/>
      <c r="O1" s="27"/>
      <c r="P1" s="27" t="e">
        <f>N82</f>
        <v>#N/A</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7.25" thickTop="1" thickBot="1" x14ac:dyDescent="0.3">
      <c r="B2" s="28" t="s">
        <v>59</v>
      </c>
      <c r="C2" s="29" t="s">
        <v>60</v>
      </c>
      <c r="D2" s="30"/>
      <c r="E2" s="30"/>
      <c r="F2" s="31" t="s">
        <v>609</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75" thickTop="1" thickBot="1" x14ac:dyDescent="0.25">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0</v>
      </c>
      <c r="D6" s="37" t="s">
        <v>81</v>
      </c>
      <c r="E6" s="38"/>
      <c r="F6" s="41"/>
      <c r="G6" s="27"/>
      <c r="H6" s="27"/>
      <c r="I6" s="27"/>
      <c r="J6" s="27"/>
      <c r="K6" s="27"/>
      <c r="L6" s="27"/>
      <c r="M6" s="27"/>
      <c r="N6" s="27" t="s">
        <v>82</v>
      </c>
      <c r="O6" s="27" t="s">
        <v>83</v>
      </c>
      <c r="P6" s="27">
        <f>P4*C9</f>
        <v>0</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0</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0</v>
      </c>
      <c r="D9" s="209" t="s">
        <v>100</v>
      </c>
      <c r="E9" s="210"/>
      <c r="F9" s="27"/>
      <c r="G9" s="188" t="s">
        <v>607</v>
      </c>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f>F14</f>
        <v>0</v>
      </c>
      <c r="D10" s="46" t="s">
        <v>111</v>
      </c>
      <c r="E10" s="39"/>
      <c r="F10" s="27"/>
      <c r="G10" s="27"/>
      <c r="H10" s="187">
        <v>0</v>
      </c>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ht="15" x14ac:dyDescent="0.25">
      <c r="B11" s="47" t="s">
        <v>32</v>
      </c>
      <c r="C11" s="48">
        <v>0</v>
      </c>
      <c r="D11" s="209" t="s">
        <v>118</v>
      </c>
      <c r="E11" s="210"/>
      <c r="F11" s="27"/>
      <c r="G11" s="188"/>
      <c r="H11" s="27"/>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ht="15"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ht="15" x14ac:dyDescent="0.25">
      <c r="A13" s="49"/>
      <c r="B13" s="47" t="s">
        <v>5</v>
      </c>
      <c r="C13" s="48">
        <v>0</v>
      </c>
      <c r="D13" s="209" t="s">
        <v>118</v>
      </c>
      <c r="E13" s="210"/>
      <c r="F13" s="27"/>
      <c r="G13" s="27"/>
      <c r="H13" s="27"/>
      <c r="I13" s="27"/>
      <c r="J13" s="27"/>
      <c r="K13" s="27" t="e">
        <f>($I$7+$I$8+#REF!+$I$11+#REF!+500)*1.2%*($C$7)*C9</f>
        <v>#REF!</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09" t="s">
        <v>133</v>
      </c>
      <c r="E14" s="210"/>
      <c r="F14" s="27">
        <f>F16*(F15+1)</f>
        <v>0</v>
      </c>
      <c r="G14" s="27"/>
      <c r="H14" s="27"/>
      <c r="I14" s="27"/>
      <c r="J14" s="27"/>
      <c r="K14" s="27" t="e">
        <f>($I$7+$I$8+#REF!+$I$11+#REF!+500)*1.2%*($C$8)*C9</f>
        <v>#REF!</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v>1</v>
      </c>
      <c r="D16" s="209" t="s">
        <v>149</v>
      </c>
      <c r="E16" s="210"/>
      <c r="F16" s="27">
        <f>IF(C19=F18,VLOOKUP(C17,DD11:DF31,2,TRUE)*0.01,VLOOKUP(C17,DD11:DF31,3,TRUE)*0.01)</f>
        <v>0</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ht="15"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0</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ht="15"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0</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ht="15"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c r="C20" s="36"/>
      <c r="D20" s="209"/>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c r="C21" s="51"/>
      <c r="D21" s="213"/>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25">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
      <c r="B25" s="58" t="s">
        <v>261</v>
      </c>
      <c r="C25" s="58">
        <v>1</v>
      </c>
      <c r="D25" s="58">
        <v>0</v>
      </c>
      <c r="E25" s="58">
        <v>0</v>
      </c>
      <c r="F25" s="207">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271.07985410316002</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
      <c r="B26" s="52" t="s">
        <v>269</v>
      </c>
      <c r="C26" s="55">
        <f>C25*1</f>
        <v>1</v>
      </c>
      <c r="D26" s="55">
        <f>D25*1.1</f>
        <v>0</v>
      </c>
      <c r="E26" s="55">
        <f>E25*2</f>
        <v>0</v>
      </c>
      <c r="F26" s="206">
        <f>SUM(C26:E26)</f>
        <v>1</v>
      </c>
      <c r="G26" s="27" t="s">
        <v>270</v>
      </c>
      <c r="H26" s="27"/>
      <c r="I26" s="27"/>
      <c r="J26" s="27"/>
      <c r="K26" s="27"/>
      <c r="L26" s="27"/>
      <c r="M26" s="27"/>
      <c r="N26" s="27"/>
      <c r="O26" s="27"/>
      <c r="P26" s="27"/>
      <c r="Q26" s="27" t="e">
        <f>SUM(Q10:Q25)</f>
        <v>#REF!</v>
      </c>
      <c r="R26" s="27">
        <f>SUM(R10:R24)*'[1]נתוני מס'!L22*(1+'[1]נתוני מס'!L23)</f>
        <v>366.65056266641858</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25">
      <c r="C27" s="61"/>
      <c r="D27" s="61" t="s">
        <v>182</v>
      </c>
      <c r="E27" s="61"/>
      <c r="G27" s="27"/>
      <c r="H27" s="27"/>
      <c r="I27" s="27"/>
      <c r="J27" s="27"/>
      <c r="K27" s="27"/>
      <c r="L27" s="27"/>
      <c r="M27" s="27"/>
      <c r="N27" s="27"/>
      <c r="O27" s="27"/>
      <c r="P27" s="27"/>
      <c r="Q27" s="27"/>
      <c r="R27" s="27">
        <f>SUM(R10:R26)</f>
        <v>8167.7263640795791</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
      <c r="B30" s="52" t="s">
        <v>269</v>
      </c>
      <c r="C30" s="55">
        <f>C29*2.4</f>
        <v>36</v>
      </c>
      <c r="D30" s="55">
        <f>D29*2.2</f>
        <v>0</v>
      </c>
      <c r="E30" s="55">
        <f>E29*2</f>
        <v>0</v>
      </c>
      <c r="F30" s="186">
        <f>SUM(C30:E30)</f>
        <v>36</v>
      </c>
      <c r="G30" s="27"/>
      <c r="H30" s="27"/>
      <c r="I30" s="27"/>
      <c r="J30" s="27"/>
      <c r="K30" s="27"/>
      <c r="L30" s="27"/>
      <c r="M30" s="27"/>
      <c r="N30" s="27"/>
      <c r="O30" s="27" t="s">
        <v>299</v>
      </c>
      <c r="P30" s="27">
        <f>IF($C$21=$S$723,15%,15%*0.8)</f>
        <v>0.12</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
      <c r="B39" s="27" t="s">
        <v>374</v>
      </c>
      <c r="C39" s="27">
        <f>IF($C$38="א-ו",J111,IF($C$38="ז-ח",J112,IF($C$38="חטיבת ביניים",J112-2.5%,#REF!)))</f>
        <v>0</v>
      </c>
      <c r="D39" s="27" t="s">
        <v>375</v>
      </c>
      <c r="E39" s="27"/>
      <c r="F39" s="27"/>
      <c r="G39" s="27"/>
      <c r="H39" s="27"/>
      <c r="I39" s="27">
        <v>3</v>
      </c>
      <c r="J39" s="27">
        <f>IF(C21=S723,1*L853,IF(C21=S724,0.75*L853,IF(C21=S725,0.6836*L853,0.5948*L853)))</f>
        <v>0.5948</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0</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
      <c r="B70" s="27"/>
      <c r="C70" s="27"/>
      <c r="D70" s="27"/>
      <c r="E70" s="27"/>
      <c r="F70" s="27"/>
      <c r="G70" s="27"/>
      <c r="H70" s="27"/>
      <c r="I70" s="27"/>
      <c r="J70" s="27"/>
      <c r="K70" s="27"/>
      <c r="L70" s="27"/>
      <c r="M70" s="27"/>
      <c r="N70" s="27"/>
      <c r="O70" s="27">
        <v>755</v>
      </c>
      <c r="P70" s="27"/>
      <c r="Q70" s="27"/>
      <c r="R70" s="27" t="s">
        <v>440</v>
      </c>
      <c r="S70" s="27" t="e">
        <f>VLOOKUP(S69,S72:S88,1,1)</f>
        <v>#N/A</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
      <c r="B72" s="27"/>
      <c r="C72" s="27"/>
      <c r="D72" s="27"/>
      <c r="E72" s="27"/>
      <c r="F72" s="27"/>
      <c r="G72" s="27"/>
      <c r="H72" s="27"/>
      <c r="I72" s="27"/>
      <c r="J72" s="27"/>
      <c r="K72" s="27"/>
      <c r="L72" s="27"/>
      <c r="M72" s="27"/>
      <c r="N72" s="27"/>
      <c r="O72" s="27">
        <v>628</v>
      </c>
      <c r="P72" s="27"/>
      <c r="Q72" s="27"/>
      <c r="R72" s="27" t="e">
        <f>IF(OR($C$5=$CB$16,$C$5=$CC$16),S72*1.05,S72)</f>
        <v>#N/A</v>
      </c>
      <c r="S72" s="27" t="e">
        <f>VLOOKUP(INT(W18),ofek4,1+2,FALSE)</f>
        <v>#N/A</v>
      </c>
      <c r="T72" s="27" t="e">
        <f>S72*0.75</f>
        <v>#N/A</v>
      </c>
      <c r="U72" s="27" t="e">
        <f t="shared" ref="U72:U88" si="5">T72*$U$70</f>
        <v>#N/A</v>
      </c>
      <c r="V72" s="27" t="e">
        <f t="shared" ref="V72:V88" si="6">U72*$S$64</f>
        <v>#N/A</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
      <c r="B73" s="27"/>
      <c r="C73" s="27"/>
      <c r="D73" s="27"/>
      <c r="E73" s="27"/>
      <c r="F73" s="27"/>
      <c r="G73" s="27"/>
      <c r="H73" s="27"/>
      <c r="I73" s="27"/>
      <c r="J73" s="27"/>
      <c r="K73" s="27"/>
      <c r="L73" s="27"/>
      <c r="M73" s="27"/>
      <c r="N73" s="27"/>
      <c r="O73" s="27">
        <v>543</v>
      </c>
      <c r="P73" s="27"/>
      <c r="Q73" s="27"/>
      <c r="R73" s="27" t="e">
        <f>R72*1.0375</f>
        <v>#N/A</v>
      </c>
      <c r="S73" s="27" t="e">
        <f>S72*1.0375</f>
        <v>#N/A</v>
      </c>
      <c r="T73" s="27" t="e">
        <f t="shared" ref="T73:T88" si="7">S73*0.75</f>
        <v>#N/A</v>
      </c>
      <c r="U73" s="27" t="e">
        <f t="shared" si="5"/>
        <v>#N/A</v>
      </c>
      <c r="V73" s="27" t="e">
        <f t="shared" si="6"/>
        <v>#N/A</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
      <c r="B74" s="27"/>
      <c r="C74" s="27"/>
      <c r="D74" s="27"/>
      <c r="E74" s="27"/>
      <c r="F74" s="27"/>
      <c r="G74" s="27"/>
      <c r="H74" s="27"/>
      <c r="I74" s="27" t="s">
        <v>448</v>
      </c>
      <c r="J74" s="27"/>
      <c r="K74" s="27"/>
      <c r="L74" s="27"/>
      <c r="M74" s="27"/>
      <c r="N74" s="27"/>
      <c r="O74" s="27">
        <v>543</v>
      </c>
      <c r="P74" s="27"/>
      <c r="Q74" s="27"/>
      <c r="R74" s="27" t="e">
        <f>IF(OR($C$5=$CB$16,$C$5=$CC$16),S74*1.05,S74)</f>
        <v>#N/A</v>
      </c>
      <c r="S74" s="27" t="e">
        <f>VLOOKUP(INT(W18),ofek4,2+2,FALSE)</f>
        <v>#N/A</v>
      </c>
      <c r="T74" s="27" t="e">
        <f t="shared" si="7"/>
        <v>#N/A</v>
      </c>
      <c r="U74" s="27" t="e">
        <f t="shared" si="5"/>
        <v>#N/A</v>
      </c>
      <c r="V74" s="27" t="e">
        <f t="shared" si="6"/>
        <v>#N/A</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
      <c r="B75" s="27"/>
      <c r="C75" s="27"/>
      <c r="D75" s="27"/>
      <c r="E75" s="27"/>
      <c r="F75" s="27"/>
      <c r="G75" s="27"/>
      <c r="H75" s="27"/>
      <c r="I75" s="27">
        <f>C25+D25+E25</f>
        <v>1</v>
      </c>
      <c r="J75" s="27"/>
      <c r="K75" s="27">
        <f>D25*0.1</f>
        <v>0</v>
      </c>
      <c r="L75" s="27">
        <f>E25*1</f>
        <v>0</v>
      </c>
      <c r="M75" s="27"/>
      <c r="N75" s="27"/>
      <c r="O75" s="27">
        <v>543</v>
      </c>
      <c r="P75" s="27"/>
      <c r="Q75" s="27"/>
      <c r="R75" s="27" t="e">
        <f>R74*1.0375</f>
        <v>#N/A</v>
      </c>
      <c r="S75" s="27" t="e">
        <f>S74*1.0375</f>
        <v>#N/A</v>
      </c>
      <c r="T75" s="27" t="e">
        <f t="shared" si="7"/>
        <v>#N/A</v>
      </c>
      <c r="U75" s="27" t="e">
        <f t="shared" si="5"/>
        <v>#N/A</v>
      </c>
      <c r="V75" s="27" t="e">
        <f t="shared" si="6"/>
        <v>#N/A</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
      <c r="B76" s="27"/>
      <c r="C76" s="27"/>
      <c r="D76" s="27"/>
      <c r="E76" s="27"/>
      <c r="F76" s="27"/>
      <c r="G76" s="27"/>
      <c r="H76" s="27"/>
      <c r="I76" s="27"/>
      <c r="J76" s="27"/>
      <c r="K76" s="27"/>
      <c r="L76" s="27"/>
      <c r="M76" s="27"/>
      <c r="N76" s="27"/>
      <c r="O76" s="27">
        <v>543</v>
      </c>
      <c r="P76" s="27"/>
      <c r="Q76" s="27"/>
      <c r="R76" s="27" t="e">
        <f>IF(OR($C$5=$CB$16,$C$5=$CC$16),S76*1.05,S76)</f>
        <v>#N/A</v>
      </c>
      <c r="S76" s="27" t="e">
        <f>VLOOKUP(INT(W18),ofek4,3+2,FALSE)</f>
        <v>#N/A</v>
      </c>
      <c r="T76" s="27" t="e">
        <f t="shared" si="7"/>
        <v>#N/A</v>
      </c>
      <c r="U76" s="27" t="e">
        <f t="shared" si="5"/>
        <v>#N/A</v>
      </c>
      <c r="V76" s="27" t="e">
        <f t="shared" si="6"/>
        <v>#N/A</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
      <c r="B77" s="27"/>
      <c r="C77" s="27"/>
      <c r="D77" s="27"/>
      <c r="E77" s="27"/>
      <c r="F77" s="27"/>
      <c r="G77" s="27"/>
      <c r="H77" s="27"/>
      <c r="I77" s="27"/>
      <c r="J77" s="27"/>
      <c r="K77" s="27">
        <f>I75+K75+L75</f>
        <v>1</v>
      </c>
      <c r="L77" s="27"/>
      <c r="M77" s="27"/>
      <c r="N77" s="27"/>
      <c r="O77" s="27">
        <v>543</v>
      </c>
      <c r="P77" s="27"/>
      <c r="Q77" s="27"/>
      <c r="R77" s="27" t="e">
        <f>R76*1.0375</f>
        <v>#N/A</v>
      </c>
      <c r="S77" s="27" t="e">
        <f>S76*1.0375</f>
        <v>#N/A</v>
      </c>
      <c r="T77" s="27" t="e">
        <f t="shared" si="7"/>
        <v>#N/A</v>
      </c>
      <c r="U77" s="27" t="e">
        <f t="shared" si="5"/>
        <v>#N/A</v>
      </c>
      <c r="V77" s="27" t="e">
        <f t="shared" si="6"/>
        <v>#N/A</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
      <c r="B78" s="27"/>
      <c r="C78" s="27"/>
      <c r="D78" s="27"/>
      <c r="E78" s="27"/>
      <c r="F78" s="27"/>
      <c r="G78" s="27"/>
      <c r="H78" s="27"/>
      <c r="I78" s="27"/>
      <c r="J78" s="27"/>
      <c r="K78" s="27"/>
      <c r="L78" s="27"/>
      <c r="M78" s="27"/>
      <c r="N78" s="27"/>
      <c r="O78" s="27">
        <v>543</v>
      </c>
      <c r="P78" s="27"/>
      <c r="Q78" s="27"/>
      <c r="R78" s="27" t="e">
        <f>IF(OR($C$5=$CB$16,$C$5=$CC$16),S78*1.05,S78)</f>
        <v>#N/A</v>
      </c>
      <c r="S78" s="27" t="e">
        <f>VLOOKUP(INT(W18),ofek4,4+2,FALSE)</f>
        <v>#N/A</v>
      </c>
      <c r="T78" s="27" t="e">
        <f t="shared" si="7"/>
        <v>#N/A</v>
      </c>
      <c r="U78" s="27" t="e">
        <f t="shared" si="5"/>
        <v>#N/A</v>
      </c>
      <c r="V78" s="27" t="e">
        <f t="shared" si="6"/>
        <v>#N/A</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
      <c r="B79" s="27"/>
      <c r="C79" s="27"/>
      <c r="D79" s="27"/>
      <c r="E79" s="27"/>
      <c r="F79" s="27"/>
      <c r="G79" s="27"/>
      <c r="H79" s="27"/>
      <c r="I79" s="27"/>
      <c r="J79" s="27"/>
      <c r="K79" s="27"/>
      <c r="L79" s="27"/>
      <c r="M79" s="27"/>
      <c r="N79" s="27"/>
      <c r="O79" s="27">
        <v>543</v>
      </c>
      <c r="P79" s="27"/>
      <c r="Q79" s="27"/>
      <c r="R79" s="27" t="e">
        <f>R78*1.0375</f>
        <v>#N/A</v>
      </c>
      <c r="S79" s="27" t="e">
        <f>S78*1.0375</f>
        <v>#N/A</v>
      </c>
      <c r="T79" s="27" t="e">
        <f t="shared" si="7"/>
        <v>#N/A</v>
      </c>
      <c r="U79" s="27" t="e">
        <f t="shared" si="5"/>
        <v>#N/A</v>
      </c>
      <c r="V79" s="27" t="e">
        <f t="shared" si="6"/>
        <v>#N/A</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
      <c r="B80" s="27"/>
      <c r="C80" s="27"/>
      <c r="D80" s="27"/>
      <c r="E80" s="27"/>
      <c r="F80" s="27"/>
      <c r="G80" s="27"/>
      <c r="H80" s="27"/>
      <c r="I80" s="27"/>
      <c r="J80" s="27"/>
      <c r="K80" s="27"/>
      <c r="L80" s="27"/>
      <c r="M80" s="27" t="s">
        <v>453</v>
      </c>
      <c r="N80" s="27"/>
      <c r="O80" s="27">
        <v>543</v>
      </c>
      <c r="P80" s="27"/>
      <c r="Q80" s="27"/>
      <c r="R80" s="27" t="e">
        <f>IF(OR($C$5=$CB$16,$C$5=$CC$16),S80*1.05,S80)</f>
        <v>#N/A</v>
      </c>
      <c r="S80" s="27" t="e">
        <f>VLOOKUP(INT(W18),ofek4,5+2,FALSE)</f>
        <v>#N/A</v>
      </c>
      <c r="T80" s="27" t="e">
        <f t="shared" si="7"/>
        <v>#N/A</v>
      </c>
      <c r="U80" s="27" t="e">
        <f t="shared" si="5"/>
        <v>#N/A</v>
      </c>
      <c r="V80" s="27" t="e">
        <f t="shared" si="6"/>
        <v>#N/A</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
      <c r="B81" s="27"/>
      <c r="C81" s="27"/>
      <c r="D81" s="27"/>
      <c r="E81" s="27"/>
      <c r="F81" s="27"/>
      <c r="G81" s="27"/>
      <c r="H81" s="27"/>
      <c r="I81" s="27"/>
      <c r="J81" s="27"/>
      <c r="K81" s="27"/>
      <c r="L81" s="27"/>
      <c r="M81" s="27" t="s">
        <v>278</v>
      </c>
      <c r="N81" s="27" t="str">
        <f>W18&amp;"  שנות הוראה  "</f>
        <v xml:space="preserve">0  שנות הוראה  </v>
      </c>
      <c r="O81" s="27">
        <v>543</v>
      </c>
      <c r="P81" s="27"/>
      <c r="Q81" s="27"/>
      <c r="R81" s="27" t="e">
        <f>R80*1.0375</f>
        <v>#N/A</v>
      </c>
      <c r="S81" s="27" t="e">
        <f>S80*1.0375</f>
        <v>#N/A</v>
      </c>
      <c r="T81" s="27" t="e">
        <f t="shared" si="7"/>
        <v>#N/A</v>
      </c>
      <c r="U81" s="27" t="e">
        <f t="shared" si="5"/>
        <v>#N/A</v>
      </c>
      <c r="V81" s="27" t="e">
        <f t="shared" si="6"/>
        <v>#N/A</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
      <c r="B82" s="27"/>
      <c r="C82" s="27"/>
      <c r="D82" s="27"/>
      <c r="E82" s="27"/>
      <c r="F82" s="27"/>
      <c r="G82" s="27"/>
      <c r="H82" s="27"/>
      <c r="I82" s="27"/>
      <c r="J82" s="27"/>
      <c r="K82" s="27"/>
      <c r="L82" s="27"/>
      <c r="M82" s="27">
        <v>1</v>
      </c>
      <c r="N82" s="27" t="e">
        <f t="shared" ref="N82:N98" si="8">IF($C$5=$CB$16,R72*1.05,IF($C$5=$CE$16,T72,IF($C$5=$CF$16,U72,IF(OR($C$5=$CC$16,$C$5=$CD$16),S72,U72*$S$64))))</f>
        <v>#N/A</v>
      </c>
      <c r="O82" s="27"/>
      <c r="P82" s="27"/>
      <c r="Q82" s="27"/>
      <c r="R82" s="27" t="e">
        <f>IF(OR($C$5=$CB$16,$C$5=$CC$16),S82*1.05,S82)</f>
        <v>#N/A</v>
      </c>
      <c r="S82" s="27" t="e">
        <f>VLOOKUP(INT(W18),ofek4,6+2,FALSE)</f>
        <v>#N/A</v>
      </c>
      <c r="T82" s="27" t="e">
        <f t="shared" si="7"/>
        <v>#N/A</v>
      </c>
      <c r="U82" s="27" t="e">
        <f t="shared" si="5"/>
        <v>#N/A</v>
      </c>
      <c r="V82" s="27" t="e">
        <f t="shared" si="6"/>
        <v>#N/A</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
      <c r="B83" s="27"/>
      <c r="C83" s="27"/>
      <c r="D83" s="27"/>
      <c r="E83" s="27"/>
      <c r="F83" s="27"/>
      <c r="G83" s="27"/>
      <c r="H83" s="27"/>
      <c r="I83" s="27"/>
      <c r="J83" s="27"/>
      <c r="K83" s="27"/>
      <c r="L83" s="27"/>
      <c r="M83" s="27">
        <v>1.5</v>
      </c>
      <c r="N83" s="27" t="e">
        <f t="shared" si="8"/>
        <v>#N/A</v>
      </c>
      <c r="O83" s="27"/>
      <c r="P83" s="27"/>
      <c r="Q83" s="27"/>
      <c r="R83" s="27" t="e">
        <f>R82*1.0375</f>
        <v>#N/A</v>
      </c>
      <c r="S83" s="27" t="e">
        <f>S82*1.0425</f>
        <v>#N/A</v>
      </c>
      <c r="T83" s="27" t="e">
        <f t="shared" si="7"/>
        <v>#N/A</v>
      </c>
      <c r="U83" s="27" t="e">
        <f t="shared" si="5"/>
        <v>#N/A</v>
      </c>
      <c r="V83" s="27" t="e">
        <f t="shared" si="6"/>
        <v>#N/A</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
      <c r="B84" s="27"/>
      <c r="C84" s="27"/>
      <c r="D84" s="27"/>
      <c r="E84" s="27"/>
      <c r="F84" s="27"/>
      <c r="G84" s="27"/>
      <c r="H84" s="27"/>
      <c r="I84" s="27"/>
      <c r="J84" s="27"/>
      <c r="K84" s="27"/>
      <c r="L84" s="27"/>
      <c r="M84" s="27">
        <v>2</v>
      </c>
      <c r="N84" s="27" t="e">
        <f t="shared" si="8"/>
        <v>#N/A</v>
      </c>
      <c r="O84" s="27"/>
      <c r="P84" s="27"/>
      <c r="Q84" s="27"/>
      <c r="R84" s="27" t="e">
        <f>IF(OR($C$5=$CB$16,$C$5=$CC$16),S84*1.05,S84)</f>
        <v>#N/A</v>
      </c>
      <c r="S84" s="27" t="e">
        <f>VLOOKUP(INT(W18),ofek4,7+2,FALSE)</f>
        <v>#N/A</v>
      </c>
      <c r="T84" s="27" t="e">
        <f>S84*0.75</f>
        <v>#N/A</v>
      </c>
      <c r="U84" s="27" t="e">
        <f t="shared" si="5"/>
        <v>#N/A</v>
      </c>
      <c r="V84" s="27" t="e">
        <f t="shared" si="6"/>
        <v>#N/A</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
      <c r="B85" s="27"/>
      <c r="C85" s="27"/>
      <c r="D85" s="27"/>
      <c r="E85" s="27"/>
      <c r="F85" s="27"/>
      <c r="G85" s="27"/>
      <c r="H85" s="27"/>
      <c r="I85" s="27"/>
      <c r="J85" s="27"/>
      <c r="K85" s="27"/>
      <c r="L85" s="27"/>
      <c r="M85" s="27">
        <v>2.5</v>
      </c>
      <c r="N85" s="27" t="e">
        <f t="shared" si="8"/>
        <v>#N/A</v>
      </c>
      <c r="O85" s="27" t="s">
        <v>9</v>
      </c>
      <c r="P85" s="27" t="s">
        <v>12</v>
      </c>
      <c r="Q85" s="27" t="s">
        <v>13</v>
      </c>
      <c r="R85" s="27" t="e">
        <f>R84*1.0375</f>
        <v>#N/A</v>
      </c>
      <c r="S85" s="27" t="e">
        <f>S84*1.0425</f>
        <v>#N/A</v>
      </c>
      <c r="T85" s="27" t="e">
        <f t="shared" si="7"/>
        <v>#N/A</v>
      </c>
      <c r="U85" s="27" t="e">
        <f t="shared" si="5"/>
        <v>#N/A</v>
      </c>
      <c r="V85" s="27" t="e">
        <f t="shared" si="6"/>
        <v>#N/A</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
      <c r="B86" s="27"/>
      <c r="C86" s="27"/>
      <c r="D86" s="27"/>
      <c r="E86" s="27"/>
      <c r="F86" s="27"/>
      <c r="G86" s="27"/>
      <c r="H86" s="27"/>
      <c r="I86" s="27"/>
      <c r="J86" s="27"/>
      <c r="K86" s="27"/>
      <c r="L86" s="27"/>
      <c r="M86" s="27">
        <v>3</v>
      </c>
      <c r="N86" s="27" t="e">
        <f t="shared" si="8"/>
        <v>#N/A</v>
      </c>
      <c r="O86" s="27">
        <f t="shared" ref="O86:O102" si="9">N120*0.75</f>
        <v>4725.0025781249997</v>
      </c>
      <c r="P86" s="27">
        <f t="shared" ref="P86:P102" si="10">O86*$U$70</f>
        <v>4307.0548375782419</v>
      </c>
      <c r="Q86" s="27">
        <f t="shared" ref="Q86:Q102" si="11">P86*$S$64</f>
        <v>3747.0515675963188</v>
      </c>
      <c r="R86" s="27" t="e">
        <f>IF(OR($C$5=$CB$16,$C$5=$CC$16),S86*1.05,S86)</f>
        <v>#N/A</v>
      </c>
      <c r="S86" s="27" t="e">
        <f>VLOOKUP(INT(W18),ofek4,8+2,FALSE)</f>
        <v>#N/A</v>
      </c>
      <c r="T86" s="27" t="e">
        <f t="shared" si="7"/>
        <v>#N/A</v>
      </c>
      <c r="U86" s="27" t="e">
        <f t="shared" si="5"/>
        <v>#N/A</v>
      </c>
      <c r="V86" s="27" t="e">
        <f t="shared" si="6"/>
        <v>#N/A</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
      <c r="A87" t="s">
        <v>59</v>
      </c>
      <c r="B87" s="27"/>
      <c r="C87" s="27"/>
      <c r="D87" s="27"/>
      <c r="E87" s="27"/>
      <c r="F87" s="27"/>
      <c r="G87" s="27"/>
      <c r="H87" s="27"/>
      <c r="I87" s="27"/>
      <c r="J87" s="27"/>
      <c r="K87" s="27"/>
      <c r="L87" s="27"/>
      <c r="M87" s="27">
        <v>3.5</v>
      </c>
      <c r="N87" s="27" t="e">
        <f t="shared" si="8"/>
        <v>#N/A</v>
      </c>
      <c r="O87" s="27">
        <f t="shared" si="9"/>
        <v>4902.1901748046876</v>
      </c>
      <c r="P87" s="27">
        <f t="shared" si="10"/>
        <v>4468.5693939874263</v>
      </c>
      <c r="Q87" s="27">
        <f t="shared" si="11"/>
        <v>3887.5660013811812</v>
      </c>
      <c r="R87" s="27" t="e">
        <f>R86*1.0375</f>
        <v>#N/A</v>
      </c>
      <c r="S87" s="27" t="e">
        <f>S86*1.0425</f>
        <v>#N/A</v>
      </c>
      <c r="T87" s="27" t="e">
        <f t="shared" si="7"/>
        <v>#N/A</v>
      </c>
      <c r="U87" s="27" t="e">
        <f t="shared" si="5"/>
        <v>#N/A</v>
      </c>
      <c r="V87" s="27" t="e">
        <f t="shared" si="6"/>
        <v>#N/A</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
      <c r="B88" s="27"/>
      <c r="C88" s="27"/>
      <c r="D88" s="27"/>
      <c r="E88" s="27"/>
      <c r="F88" s="27"/>
      <c r="G88" s="27"/>
      <c r="H88" s="27"/>
      <c r="I88" s="27"/>
      <c r="J88" s="27"/>
      <c r="K88" s="27"/>
      <c r="L88" s="27"/>
      <c r="M88" s="27">
        <v>4</v>
      </c>
      <c r="N88" s="27" t="e">
        <f t="shared" si="8"/>
        <v>#N/A</v>
      </c>
      <c r="O88" s="27">
        <f t="shared" si="9"/>
        <v>5079.3777714843745</v>
      </c>
      <c r="P88" s="27">
        <f t="shared" si="10"/>
        <v>4630.0839503966099</v>
      </c>
      <c r="Q88" s="27">
        <f t="shared" si="11"/>
        <v>4028.0804351660427</v>
      </c>
      <c r="R88" s="27" t="e">
        <f>IF(OR($C$5=$CB$16,$C$5=$CC$16),S88*1.05,S88)</f>
        <v>#N/A</v>
      </c>
      <c r="S88" s="27" t="e">
        <f>VLOOKUP(INT(W18),ofek4,9+2,FALSE)</f>
        <v>#N/A</v>
      </c>
      <c r="T88" s="27" t="e">
        <f t="shared" si="7"/>
        <v>#N/A</v>
      </c>
      <c r="U88" s="27" t="e">
        <f t="shared" si="5"/>
        <v>#N/A</v>
      </c>
      <c r="V88" s="27" t="e">
        <f t="shared" si="6"/>
        <v>#N/A</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
      <c r="B89" s="27"/>
      <c r="C89" s="27"/>
      <c r="D89" s="27"/>
      <c r="E89" s="27"/>
      <c r="F89" s="27"/>
      <c r="G89" s="27"/>
      <c r="H89" s="27"/>
      <c r="I89" s="27"/>
      <c r="J89" s="27"/>
      <c r="K89" s="27"/>
      <c r="L89" s="27"/>
      <c r="M89" s="27">
        <v>4.5</v>
      </c>
      <c r="N89" s="27" t="e">
        <f t="shared" si="8"/>
        <v>#N/A</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
      <c r="B90" s="27"/>
      <c r="C90" s="27"/>
      <c r="D90" s="27"/>
      <c r="E90" s="27"/>
      <c r="F90" s="27"/>
      <c r="G90" s="27"/>
      <c r="H90" s="27"/>
      <c r="I90" s="27"/>
      <c r="J90" s="27"/>
      <c r="K90" s="27"/>
      <c r="L90" s="27"/>
      <c r="M90" s="27">
        <v>5</v>
      </c>
      <c r="N90" s="27" t="e">
        <f t="shared" si="8"/>
        <v>#N/A</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
      <c r="B91" s="27"/>
      <c r="C91" s="27"/>
      <c r="D91" s="27"/>
      <c r="E91" s="27"/>
      <c r="F91" s="27"/>
      <c r="G91" s="27"/>
      <c r="H91" s="27"/>
      <c r="I91" s="27"/>
      <c r="J91" s="27"/>
      <c r="K91" s="27"/>
      <c r="L91" s="27"/>
      <c r="M91" s="27">
        <v>5.5</v>
      </c>
      <c r="N91" s="27" t="e">
        <f t="shared" si="8"/>
        <v>#N/A</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
      <c r="B92" s="27"/>
      <c r="C92" s="27"/>
      <c r="D92" s="27"/>
      <c r="E92" s="27"/>
      <c r="F92" s="27"/>
      <c r="G92" s="27"/>
      <c r="H92" s="27"/>
      <c r="I92" s="27"/>
      <c r="J92" s="27"/>
      <c r="K92" s="27"/>
      <c r="L92" s="27"/>
      <c r="M92" s="27">
        <v>6</v>
      </c>
      <c r="N92" s="27" t="e">
        <f t="shared" si="8"/>
        <v>#N/A</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
      <c r="B93" s="27"/>
      <c r="C93" s="27"/>
      <c r="D93" s="27"/>
      <c r="E93" s="27"/>
      <c r="F93" s="27"/>
      <c r="G93" s="27"/>
      <c r="H93" s="27"/>
      <c r="I93" s="27"/>
      <c r="J93" s="27"/>
      <c r="K93" s="27"/>
      <c r="L93" s="27"/>
      <c r="M93" s="27">
        <v>6.5</v>
      </c>
      <c r="N93" s="27" t="e">
        <f t="shared" si="8"/>
        <v>#N/A</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
      <c r="B94" s="27"/>
      <c r="C94" s="27"/>
      <c r="D94" s="27"/>
      <c r="E94" s="27"/>
      <c r="F94" s="27"/>
      <c r="G94" s="27"/>
      <c r="H94" s="27"/>
      <c r="I94" s="27"/>
      <c r="J94" s="27"/>
      <c r="K94" s="27"/>
      <c r="L94" s="27"/>
      <c r="M94" s="27">
        <v>7</v>
      </c>
      <c r="N94" s="27" t="e">
        <f t="shared" si="8"/>
        <v>#N/A</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
      <c r="B95" s="27"/>
      <c r="C95" s="27"/>
      <c r="D95" s="27"/>
      <c r="E95" s="27"/>
      <c r="F95" s="27"/>
      <c r="G95" s="27"/>
      <c r="H95" s="27"/>
      <c r="I95" s="27"/>
      <c r="J95" s="27"/>
      <c r="K95" s="27"/>
      <c r="L95" s="27"/>
      <c r="M95" s="27">
        <v>7.5</v>
      </c>
      <c r="N95" s="27" t="e">
        <f t="shared" si="8"/>
        <v>#N/A</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
      <c r="B96" s="27"/>
      <c r="C96" s="27"/>
      <c r="D96" s="27"/>
      <c r="E96" s="27"/>
      <c r="F96" s="27"/>
      <c r="G96" s="27"/>
      <c r="H96" s="27"/>
      <c r="I96" s="27"/>
      <c r="J96" s="27"/>
      <c r="K96" s="27"/>
      <c r="L96" s="27"/>
      <c r="M96" s="27">
        <v>8</v>
      </c>
      <c r="N96" s="27" t="e">
        <f t="shared" si="8"/>
        <v>#N/A</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
      <c r="B97" s="27"/>
      <c r="C97" s="27"/>
      <c r="D97" s="27"/>
      <c r="E97" s="27"/>
      <c r="F97" s="27"/>
      <c r="G97" s="27"/>
      <c r="H97" s="27"/>
      <c r="I97" s="27"/>
      <c r="J97" s="27"/>
      <c r="K97" s="27"/>
      <c r="L97" s="27"/>
      <c r="M97" s="27">
        <v>8.5</v>
      </c>
      <c r="N97" s="27" t="e">
        <f t="shared" si="8"/>
        <v>#N/A</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
      <c r="B98" s="27"/>
      <c r="C98" s="27"/>
      <c r="D98" s="27"/>
      <c r="E98" s="27"/>
      <c r="F98" s="27"/>
      <c r="G98" s="27"/>
      <c r="H98" s="27"/>
      <c r="I98" s="27"/>
      <c r="J98" s="27"/>
      <c r="K98" s="27"/>
      <c r="L98" s="27"/>
      <c r="M98" s="27">
        <v>9</v>
      </c>
      <c r="N98" s="27" t="e">
        <f t="shared" si="8"/>
        <v>#N/A</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
      <c r="B144" s="27" t="s">
        <v>487</v>
      </c>
      <c r="C144" s="27">
        <v>0.27</v>
      </c>
      <c r="D144" s="27">
        <v>0.37</v>
      </c>
      <c r="E144" s="27">
        <f>C144+12.5%</f>
        <v>0.39500000000000002</v>
      </c>
      <c r="F144" s="27">
        <f>IF(C14&gt;0,30*C9-3,30*C9)</f>
        <v>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
      <c r="B169" s="27" t="s">
        <v>71</v>
      </c>
      <c r="C169" s="27" t="s">
        <v>509</v>
      </c>
      <c r="D169" s="27"/>
      <c r="E169" s="27"/>
      <c r="F169" s="27"/>
      <c r="G169" s="27">
        <v>8.5</v>
      </c>
      <c r="H169" s="27"/>
      <c r="I169" s="27"/>
      <c r="J169" s="27"/>
      <c r="K169" s="27">
        <v>7</v>
      </c>
      <c r="L169" s="27"/>
      <c r="M169" s="27" t="str">
        <f t="shared" si="14"/>
        <v xml:space="preserve">0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
      <c r="B170" s="27"/>
      <c r="C170" s="27" t="s">
        <v>510</v>
      </c>
      <c r="D170" s="27"/>
      <c r="E170" s="27"/>
      <c r="F170" s="27"/>
      <c r="G170" s="27">
        <v>9</v>
      </c>
      <c r="H170" s="27" t="s">
        <v>59</v>
      </c>
      <c r="I170" s="27"/>
      <c r="J170" s="27"/>
      <c r="K170" s="27">
        <v>7.5</v>
      </c>
      <c r="L170" s="27"/>
      <c r="M170" s="27" t="e">
        <f t="shared" si="14"/>
        <v>#N/A</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
      <c r="B171" s="27"/>
      <c r="C171" s="27" t="s">
        <v>511</v>
      </c>
      <c r="D171" s="27"/>
      <c r="E171" s="27"/>
      <c r="F171" s="27"/>
      <c r="G171" s="27"/>
      <c r="H171" s="27"/>
      <c r="I171" s="27"/>
      <c r="J171" s="27"/>
      <c r="K171" s="27">
        <v>8</v>
      </c>
      <c r="L171" s="27"/>
      <c r="M171" s="27" t="e">
        <f t="shared" si="14"/>
        <v>#N/A</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
      <c r="B172" s="27" t="s">
        <v>512</v>
      </c>
      <c r="C172" s="27">
        <v>0</v>
      </c>
      <c r="D172" s="27"/>
      <c r="E172" s="27"/>
      <c r="F172" s="27"/>
      <c r="G172" s="27"/>
      <c r="H172" s="27"/>
      <c r="I172" s="27"/>
      <c r="J172" s="27"/>
      <c r="K172" s="27">
        <v>8.5</v>
      </c>
      <c r="L172" s="27"/>
      <c r="M172" s="27" t="e">
        <f t="shared" si="14"/>
        <v>#N/A</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
      <c r="B173" s="27" t="s">
        <v>59</v>
      </c>
      <c r="C173" s="27"/>
      <c r="D173" s="27"/>
      <c r="E173" s="27"/>
      <c r="F173" s="27" t="s">
        <v>198</v>
      </c>
      <c r="G173" s="27"/>
      <c r="H173" s="27" t="s">
        <v>513</v>
      </c>
      <c r="I173" s="27">
        <f>DATE(YEAR(J4),MONTH(J4)-MONTH(J4)+1,DAY(J4)-DAY(J4)+1)</f>
        <v>1</v>
      </c>
      <c r="J173" s="27"/>
      <c r="K173" s="27">
        <v>9</v>
      </c>
      <c r="L173" s="27"/>
      <c r="M173" s="27" t="e">
        <f t="shared" si="14"/>
        <v>#N/A</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
      <c r="B174" s="27"/>
      <c r="C174" s="27"/>
      <c r="D174" s="27"/>
      <c r="E174" s="27"/>
      <c r="F174" s="27"/>
      <c r="G174" s="27"/>
      <c r="H174" s="27"/>
      <c r="I174" s="27"/>
      <c r="J174" s="27"/>
      <c r="K174" s="27"/>
      <c r="L174" s="27"/>
      <c r="M174" s="27" t="e">
        <f t="shared" si="14"/>
        <v>#N/A</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t="e">
        <f t="shared" si="14"/>
        <v>#N/A</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
      <c r="B176" s="27"/>
      <c r="C176" s="27" t="s">
        <v>515</v>
      </c>
      <c r="D176" s="27"/>
      <c r="E176" s="27"/>
      <c r="F176" s="27"/>
      <c r="G176" s="27"/>
      <c r="H176" s="27"/>
      <c r="I176" s="27"/>
      <c r="J176" s="27"/>
      <c r="K176" s="27"/>
      <c r="L176" s="27"/>
      <c r="M176" s="27" t="e">
        <f t="shared" si="14"/>
        <v>#N/A</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
      <c r="B177" s="27"/>
      <c r="C177" s="27" t="s">
        <v>516</v>
      </c>
      <c r="D177" s="27" t="s">
        <v>59</v>
      </c>
      <c r="E177" s="27"/>
      <c r="F177" s="27"/>
      <c r="G177" s="27" t="str">
        <f>AB32</f>
        <v>תקציבית</v>
      </c>
      <c r="H177" s="27"/>
      <c r="I177" s="27" t="e">
        <f>F205</f>
        <v>#REF!</v>
      </c>
      <c r="J177" s="27"/>
      <c r="K177" s="27"/>
      <c r="L177" s="27"/>
      <c r="M177" s="27" t="e">
        <f t="shared" si="14"/>
        <v>#N/A</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
      <c r="B178" s="27"/>
      <c r="C178" s="27" t="s">
        <v>517</v>
      </c>
      <c r="D178" s="27" t="s">
        <v>518</v>
      </c>
      <c r="E178" s="27"/>
      <c r="F178" s="27" t="s">
        <v>519</v>
      </c>
      <c r="G178" s="27">
        <f>67</f>
        <v>67</v>
      </c>
      <c r="H178" s="27"/>
      <c r="I178" s="27"/>
      <c r="J178" s="27"/>
      <c r="K178" s="27"/>
      <c r="L178" s="27"/>
      <c r="M178" s="27" t="e">
        <f t="shared" si="14"/>
        <v>#N/A</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
      <c r="B179" s="27"/>
      <c r="C179" s="27" t="s">
        <v>477</v>
      </c>
      <c r="D179" s="27" t="s">
        <v>520</v>
      </c>
      <c r="E179" s="27"/>
      <c r="F179" s="27" t="s">
        <v>521</v>
      </c>
      <c r="G179" s="27" t="e">
        <f>#REF!</f>
        <v>#REF!</v>
      </c>
      <c r="H179" s="27"/>
      <c r="I179" s="27" t="s">
        <v>59</v>
      </c>
      <c r="J179" s="27"/>
      <c r="K179" s="27"/>
      <c r="L179" s="27"/>
      <c r="M179" s="27" t="e">
        <f t="shared" si="14"/>
        <v>#N/A</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
      <c r="B180" s="27"/>
      <c r="C180" s="27" t="s">
        <v>522</v>
      </c>
      <c r="D180" s="27" t="s">
        <v>476</v>
      </c>
      <c r="E180" s="27"/>
      <c r="F180" s="27" t="s">
        <v>523</v>
      </c>
      <c r="G180" s="27">
        <f>G202</f>
        <v>52.87</v>
      </c>
      <c r="H180" s="27"/>
      <c r="I180" s="27" t="s">
        <v>59</v>
      </c>
      <c r="J180" s="27"/>
      <c r="K180" s="27"/>
      <c r="L180" s="27"/>
      <c r="M180" s="27" t="e">
        <f t="shared" si="14"/>
        <v>#N/A</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
      <c r="B181" s="27"/>
      <c r="C181" s="27" t="s">
        <v>524</v>
      </c>
      <c r="D181" s="27" t="s">
        <v>525</v>
      </c>
      <c r="E181" s="27"/>
      <c r="F181" s="27"/>
      <c r="G181" s="27" t="s">
        <v>526</v>
      </c>
      <c r="H181" s="27"/>
      <c r="I181" s="27"/>
      <c r="J181" s="27"/>
      <c r="K181" s="27"/>
      <c r="L181" s="27"/>
      <c r="M181" s="27" t="e">
        <f t="shared" si="14"/>
        <v>#N/A</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t="e">
        <f t="shared" si="14"/>
        <v>#N/A</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
      <c r="B183" s="27"/>
      <c r="C183" s="27" t="s">
        <v>529</v>
      </c>
      <c r="D183" s="27" t="s">
        <v>479</v>
      </c>
      <c r="E183" s="27"/>
      <c r="F183" s="27" t="e">
        <f>#REF!/#REF!*F187</f>
        <v>#REF!</v>
      </c>
      <c r="G183" s="27" t="s">
        <v>530</v>
      </c>
      <c r="H183" s="27"/>
      <c r="I183" s="27"/>
      <c r="J183" s="27" t="s">
        <v>59</v>
      </c>
      <c r="K183" s="27"/>
      <c r="L183" s="27"/>
      <c r="M183" s="27" t="e">
        <f t="shared" si="14"/>
        <v>#N/A</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
      <c r="B184" s="27"/>
      <c r="C184" s="27" t="s">
        <v>531</v>
      </c>
      <c r="D184" s="27"/>
      <c r="E184" s="27"/>
      <c r="F184" s="27" t="e">
        <f>#REF!/#REF!*F187</f>
        <v>#REF!</v>
      </c>
      <c r="G184" s="27" t="s">
        <v>532</v>
      </c>
      <c r="H184" s="27"/>
      <c r="I184" s="27"/>
      <c r="J184" s="27"/>
      <c r="K184" s="27"/>
      <c r="L184" s="27"/>
      <c r="M184" s="27" t="e">
        <f t="shared" si="14"/>
        <v>#N/A</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
      <c r="B185" s="27"/>
      <c r="C185" s="27"/>
      <c r="D185" s="27" t="s">
        <v>533</v>
      </c>
      <c r="E185" s="27"/>
      <c r="F185" s="27" t="e">
        <f>#REF!/#REF!*F187</f>
        <v>#REF!</v>
      </c>
      <c r="G185" s="27" t="s">
        <v>534</v>
      </c>
      <c r="H185" s="27"/>
      <c r="I185" s="27"/>
      <c r="J185" s="27"/>
      <c r="K185" s="27"/>
      <c r="L185" s="27"/>
      <c r="M185" s="27" t="e">
        <f t="shared" si="14"/>
        <v>#N/A</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
      <c r="B186" s="27" t="s">
        <v>535</v>
      </c>
      <c r="C186" s="27" t="str">
        <f>C5</f>
        <v>ב"א</v>
      </c>
      <c r="D186" s="27"/>
      <c r="E186" s="27"/>
      <c r="F186" s="27" t="e">
        <f>#REF!/#REF!*F187</f>
        <v>#REF!</v>
      </c>
      <c r="G186" s="27" t="s">
        <v>536</v>
      </c>
      <c r="H186" s="27"/>
      <c r="I186" s="27"/>
      <c r="J186" s="27"/>
      <c r="K186" s="27"/>
      <c r="L186" s="27"/>
      <c r="M186" s="27" t="e">
        <f t="shared" si="14"/>
        <v>#N/A</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
      <c r="B207" s="27"/>
      <c r="C207" s="27" t="s">
        <v>559</v>
      </c>
      <c r="D207" s="27"/>
      <c r="E207" s="27"/>
      <c r="F207" s="27">
        <v>0</v>
      </c>
      <c r="G207" s="27"/>
      <c r="H207" s="27"/>
      <c r="I207" s="27">
        <f t="shared" ref="I207:I223" si="16">L207</f>
        <v>1</v>
      </c>
      <c r="J207" s="27" t="e">
        <f>M170*0.95</f>
        <v>#N/A</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
      <c r="B208" s="27" t="s">
        <v>59</v>
      </c>
      <c r="C208" s="27" t="s">
        <v>560</v>
      </c>
      <c r="D208" s="27"/>
      <c r="E208" s="27"/>
      <c r="F208" s="27">
        <v>0</v>
      </c>
      <c r="G208" s="27"/>
      <c r="H208" s="27"/>
      <c r="I208" s="27">
        <f t="shared" si="16"/>
        <v>1.5</v>
      </c>
      <c r="J208" s="27" t="e">
        <f t="shared" ref="J208:J223" si="17">M171*0.95</f>
        <v>#N/A</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
      <c r="B209" s="27"/>
      <c r="C209" s="27"/>
      <c r="D209" s="27"/>
      <c r="E209" s="27"/>
      <c r="F209" s="27">
        <v>0</v>
      </c>
      <c r="G209" s="27"/>
      <c r="H209" s="27"/>
      <c r="I209" s="27">
        <f t="shared" si="16"/>
        <v>2</v>
      </c>
      <c r="J209" s="27" t="e">
        <f t="shared" si="17"/>
        <v>#N/A</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
      <c r="B210" s="27"/>
      <c r="C210" s="27"/>
      <c r="D210" s="27"/>
      <c r="E210" s="27"/>
      <c r="F210" s="27">
        <f>BG73</f>
        <v>0</v>
      </c>
      <c r="G210" s="27"/>
      <c r="H210" s="27"/>
      <c r="I210" s="27">
        <f t="shared" si="16"/>
        <v>2.5</v>
      </c>
      <c r="J210" s="27" t="e">
        <f t="shared" si="17"/>
        <v>#N/A</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
      <c r="B211" s="27"/>
      <c r="C211" s="27"/>
      <c r="D211" s="27"/>
      <c r="E211" s="27"/>
      <c r="F211" s="27">
        <f>IF(BG65=X6,0,IF(BG65=X7,10%*P96,IF(BG65=X8,20%*P96,IF(BG65=X9,11.5%*P96,6%*P96))))</f>
        <v>0</v>
      </c>
      <c r="G211" s="27" t="s">
        <v>59</v>
      </c>
      <c r="H211" s="27"/>
      <c r="I211" s="27">
        <f t="shared" si="16"/>
        <v>3</v>
      </c>
      <c r="J211" s="27" t="e">
        <f t="shared" si="17"/>
        <v>#N/A</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
      <c r="B212" s="27"/>
      <c r="C212" s="27"/>
      <c r="D212" s="27"/>
      <c r="E212" s="27"/>
      <c r="F212" s="27">
        <f>BG66</f>
        <v>0</v>
      </c>
      <c r="G212" s="27"/>
      <c r="H212" s="27"/>
      <c r="I212" s="27">
        <f t="shared" si="16"/>
        <v>3.5</v>
      </c>
      <c r="J212" s="27" t="e">
        <f t="shared" si="17"/>
        <v>#N/A</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
      <c r="B213" s="27"/>
      <c r="C213" s="27"/>
      <c r="D213" s="27"/>
      <c r="E213" s="27"/>
      <c r="F213" s="27">
        <f>AD11*P96</f>
        <v>0</v>
      </c>
      <c r="G213" s="27"/>
      <c r="H213" s="27"/>
      <c r="I213" s="27">
        <f t="shared" si="16"/>
        <v>4</v>
      </c>
      <c r="J213" s="27" t="e">
        <f t="shared" si="17"/>
        <v>#N/A</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
      <c r="B214" s="27" t="s">
        <v>545</v>
      </c>
      <c r="C214" s="27"/>
      <c r="D214" s="27"/>
      <c r="E214" s="27"/>
      <c r="F214" s="27" t="e">
        <f>SUM(F205:F208)*BG68</f>
        <v>#REF!</v>
      </c>
      <c r="G214" s="27"/>
      <c r="H214" s="27"/>
      <c r="I214" s="27">
        <f t="shared" si="16"/>
        <v>4.5</v>
      </c>
      <c r="J214" s="27" t="e">
        <f t="shared" si="17"/>
        <v>#N/A</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
      <c r="B215" s="27"/>
      <c r="C215" s="27"/>
      <c r="D215" s="27"/>
      <c r="E215" s="27"/>
      <c r="F215" s="27" t="e">
        <f>J187*F214</f>
        <v>#REF!</v>
      </c>
      <c r="G215" s="27" t="s">
        <v>59</v>
      </c>
      <c r="H215" s="27"/>
      <c r="I215" s="27">
        <f t="shared" si="16"/>
        <v>5</v>
      </c>
      <c r="J215" s="27" t="e">
        <f t="shared" si="17"/>
        <v>#N/A</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
      <c r="B216" s="27"/>
      <c r="C216" s="27"/>
      <c r="D216" s="27"/>
      <c r="E216" s="27"/>
      <c r="F216" s="27" t="e">
        <f>J188*F205</f>
        <v>#REF!</v>
      </c>
      <c r="G216" s="27"/>
      <c r="H216" s="27"/>
      <c r="I216" s="27">
        <f t="shared" si="16"/>
        <v>5.5</v>
      </c>
      <c r="J216" s="27" t="e">
        <f t="shared" si="17"/>
        <v>#N/A</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
      <c r="B217" s="27"/>
      <c r="C217" s="27"/>
      <c r="D217" s="27"/>
      <c r="E217" s="27"/>
      <c r="F217" s="27" t="e">
        <f>SUM(F205:F208)*AB29</f>
        <v>#REF!</v>
      </c>
      <c r="G217" s="27"/>
      <c r="H217" s="27"/>
      <c r="I217" s="27">
        <f t="shared" si="16"/>
        <v>6</v>
      </c>
      <c r="J217" s="27" t="e">
        <f t="shared" si="17"/>
        <v>#N/A</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
      <c r="B218" s="27"/>
      <c r="C218" s="27"/>
      <c r="D218" s="27"/>
      <c r="E218" s="27"/>
      <c r="F218" s="27" t="e">
        <f>F205*BG72</f>
        <v>#REF!</v>
      </c>
      <c r="G218" s="27"/>
      <c r="H218" s="27"/>
      <c r="I218" s="27">
        <f t="shared" si="16"/>
        <v>6.5</v>
      </c>
      <c r="J218" s="27" t="e">
        <f t="shared" si="17"/>
        <v>#N/A</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
      <c r="B219" s="27"/>
      <c r="C219" s="27"/>
      <c r="D219" s="27"/>
      <c r="E219" s="27"/>
      <c r="F219" s="27" t="e">
        <f>SUM(F205:F208)*BG64</f>
        <v>#REF!</v>
      </c>
      <c r="G219" s="27"/>
      <c r="H219" s="27"/>
      <c r="I219" s="27">
        <f t="shared" si="16"/>
        <v>7</v>
      </c>
      <c r="J219" s="27" t="e">
        <f t="shared" si="17"/>
        <v>#N/A</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
      <c r="B220" s="27"/>
      <c r="C220" s="27"/>
      <c r="D220" s="27"/>
      <c r="E220" s="27"/>
      <c r="F220" s="27">
        <v>0</v>
      </c>
      <c r="G220" s="27" t="s">
        <v>561</v>
      </c>
      <c r="H220" s="27"/>
      <c r="I220" s="27">
        <f t="shared" si="16"/>
        <v>7.5</v>
      </c>
      <c r="J220" s="27" t="e">
        <f t="shared" si="17"/>
        <v>#N/A</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
      <c r="B221" s="27"/>
      <c r="C221" s="27"/>
      <c r="D221" s="27"/>
      <c r="E221" s="27"/>
      <c r="F221" s="27">
        <v>0</v>
      </c>
      <c r="G221" s="27" t="s">
        <v>562</v>
      </c>
      <c r="H221" s="27"/>
      <c r="I221" s="27">
        <f t="shared" si="16"/>
        <v>8</v>
      </c>
      <c r="J221" s="27" t="e">
        <f t="shared" si="17"/>
        <v>#N/A</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
      <c r="B222" s="27"/>
      <c r="C222" s="27" t="str">
        <f>BF73</f>
        <v>תוספת ערבה</v>
      </c>
      <c r="D222" s="27">
        <f>AB39</f>
        <v>0</v>
      </c>
      <c r="E222" s="27"/>
      <c r="F222" s="27" t="e">
        <f>SUM(F205:F221)</f>
        <v>#REF!</v>
      </c>
      <c r="G222" s="27"/>
      <c r="H222" s="27"/>
      <c r="I222" s="27">
        <f t="shared" si="16"/>
        <v>8.5</v>
      </c>
      <c r="J222" s="27" t="e">
        <f t="shared" si="17"/>
        <v>#N/A</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
      <c r="B223" s="27"/>
      <c r="C223" s="27"/>
      <c r="D223" s="27"/>
      <c r="E223" s="27"/>
      <c r="F223" s="27"/>
      <c r="G223" s="27"/>
      <c r="H223" s="27"/>
      <c r="I223" s="27">
        <f t="shared" si="16"/>
        <v>9</v>
      </c>
      <c r="J223" s="27" t="e">
        <f t="shared" si="17"/>
        <v>#N/A</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
      <c r="G710" s="27"/>
      <c r="H710" s="27"/>
      <c r="I710" s="27"/>
      <c r="J710" s="27"/>
      <c r="K710" s="27"/>
      <c r="L710" s="27"/>
      <c r="M710" s="27"/>
      <c r="N710" s="27"/>
      <c r="O710" s="27">
        <f ca="1">ROUND((I775-AL723)/365.25,2)</f>
        <v>65.760000000000005</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
      <c r="G711" s="27"/>
      <c r="H711" s="27"/>
      <c r="I711" s="27"/>
      <c r="J711" s="27"/>
      <c r="K711" s="27"/>
      <c r="L711" s="27"/>
      <c r="M711" s="27"/>
      <c r="N711" s="27"/>
      <c r="O711" s="27">
        <f ca="1">IF(BB769=CB719,59-O710,60-O710)</f>
        <v>-5.7600000000000051</v>
      </c>
      <c r="P711" s="27" t="s">
        <v>96</v>
      </c>
      <c r="Q711" s="27">
        <f ca="1">Q710+O711</f>
        <v>-5.4000000000000048</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
      <c r="G712" s="27"/>
      <c r="H712" s="27"/>
      <c r="I712" s="27"/>
      <c r="J712" s="27"/>
      <c r="K712" s="27"/>
      <c r="L712" s="27"/>
      <c r="M712" s="27"/>
      <c r="N712" s="27"/>
      <c r="O712" s="27">
        <f ca="1">IF(AD738+O711&gt;36,36,AD738+O711)</f>
        <v>27.239999999999995</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06/2016</v>
      </c>
      <c r="AY720" s="27">
        <f ca="1">YEAR(AQ719+I775)+AR718</f>
        <v>2016</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21</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
      <c r="G738" s="27"/>
      <c r="H738" s="27"/>
      <c r="I738" s="27"/>
      <c r="J738" s="27"/>
      <c r="K738" s="27"/>
      <c r="L738" s="27"/>
      <c r="M738" s="27" t="s">
        <v>54</v>
      </c>
      <c r="N738" s="27">
        <f ca="1">ROUND((I775-AT720)/365.25,2)</f>
        <v>13.25</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21</v>
      </c>
      <c r="AE739" s="27"/>
      <c r="AF739" s="27"/>
      <c r="AG739" s="27"/>
      <c r="AH739" s="27">
        <v>40209</v>
      </c>
      <c r="AI739" s="27"/>
      <c r="AJ739" s="27"/>
      <c r="AK739" s="27"/>
      <c r="AL739" s="27"/>
      <c r="AM739" s="27"/>
      <c r="AN739" s="27">
        <v>15</v>
      </c>
      <c r="AO739" s="27">
        <v>36</v>
      </c>
      <c r="AP739" s="27"/>
      <c r="AQ739" s="27"/>
      <c r="AR739" s="27" t="s">
        <v>305</v>
      </c>
      <c r="AS739" s="27"/>
      <c r="AT739" s="27">
        <f ca="1">IF(MONTH(I775)=1,1,0)</f>
        <v>0</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44927</v>
      </c>
      <c r="AK741" s="27">
        <f ca="1">ROUND((AJ741-AL732)/365.25,2)</f>
        <v>44.33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-11</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-1.8333333333333333E-2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-12</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
      <c r="G775" s="27"/>
      <c r="H775" s="27" t="s">
        <v>575</v>
      </c>
      <c r="I775" s="27">
        <f ca="1">TODAY()</f>
        <v>45280</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
      <c r="G887" s="27"/>
      <c r="H887" s="27"/>
      <c r="I887" s="27"/>
      <c r="J887" s="27"/>
      <c r="K887" s="27">
        <f ca="1">(F927-O710)*2.4%</f>
        <v>-0.30936000000000019</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
      <c r="G888" s="27"/>
      <c r="H888" s="27">
        <f ca="1">DATE(YEAR(I775),MONTH(I775)-MONTH(I775)+1,DAY(I775)-DAY(I775)+1)</f>
        <v>44927</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5" thickBot="1" x14ac:dyDescent="0.25">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6.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5.75"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5" thickBot="1" x14ac:dyDescent="0.3">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5" thickBot="1" x14ac:dyDescent="0.3">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7"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5" thickBot="1" x14ac:dyDescent="0.25">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6.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5.75" thickTop="1" x14ac:dyDescent="0.25">
      <c r="B906" s="84" t="e">
        <f>#REF!</f>
        <v>#REF!</v>
      </c>
      <c r="C906" s="85" t="s">
        <v>543</v>
      </c>
      <c r="D906" s="86" t="s">
        <v>59</v>
      </c>
      <c r="E906" s="87" t="e">
        <f>#REF!/#REF!*E911</f>
        <v>#REF!</v>
      </c>
      <c r="F906" s="88" t="s">
        <v>526</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ht="15"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5" thickBot="1" x14ac:dyDescent="0.25">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75" thickTop="1" thickBot="1" x14ac:dyDescent="0.25">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75" thickTop="1" thickBot="1" x14ac:dyDescent="0.25">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7.25" thickTop="1" thickBot="1" x14ac:dyDescent="0.3">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7.25" thickTop="1" thickBot="1" x14ac:dyDescent="0.3">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9.5" thickTop="1" thickBot="1" x14ac:dyDescent="0.3">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6.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ht="15"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5.75"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5.75"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5" thickBot="1" x14ac:dyDescent="0.25">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5.75" thickTop="1" x14ac:dyDescent="0.25">
      <c r="B919" s="77"/>
      <c r="C919" s="131" t="s">
        <v>559</v>
      </c>
      <c r="D919" s="108"/>
      <c r="E919" s="132"/>
      <c r="G919" s="27">
        <f ca="1">N738</f>
        <v>13.25</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75" x14ac:dyDescent="0.25">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5" thickBot="1" x14ac:dyDescent="0.3">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9.5" thickTop="1" thickBot="1" x14ac:dyDescent="0.3">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75" thickTop="1" thickBot="1" x14ac:dyDescent="0.25">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6.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5" thickTop="1" x14ac:dyDescent="0.2">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5" thickBot="1" x14ac:dyDescent="0.25">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75" thickTop="1" thickBot="1" x14ac:dyDescent="0.25">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6.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9.5" thickTop="1" thickBot="1" x14ac:dyDescent="0.3">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7.25" thickTop="1" thickBot="1" x14ac:dyDescent="0.3">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5" thickTop="1" x14ac:dyDescent="0.2">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5" thickBot="1" x14ac:dyDescent="0.25">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6.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5" thickTop="1" x14ac:dyDescent="0.2">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5" thickBot="1" x14ac:dyDescent="0.25">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6.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75" thickTop="1" thickBot="1" x14ac:dyDescent="0.25">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5" thickTop="1" x14ac:dyDescent="0.2">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5" thickBot="1" x14ac:dyDescent="0.25">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75" thickTop="1" thickBot="1" x14ac:dyDescent="0.25">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6.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5" thickTop="1" x14ac:dyDescent="0.2">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75" thickBot="1" x14ac:dyDescent="0.3">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6.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5" thickTop="1" x14ac:dyDescent="0.2">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75" x14ac:dyDescent="0.25">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33:E33"/>
    <mergeCell ref="B35:C35"/>
    <mergeCell ref="D15:E15"/>
    <mergeCell ref="D16:E16"/>
    <mergeCell ref="D18:E18"/>
    <mergeCell ref="D19:E19"/>
    <mergeCell ref="D20:E20"/>
    <mergeCell ref="D21:E21"/>
    <mergeCell ref="D11:E11"/>
    <mergeCell ref="D12:E12"/>
    <mergeCell ref="D13:E13"/>
    <mergeCell ref="D14:E14"/>
    <mergeCell ref="D9:E9"/>
  </mergeCells>
  <conditionalFormatting sqref="Y724:Y725 Y728:Y731">
    <cfRule type="expression" dxfId="184" priority="133" stopIfTrue="1">
      <formula>AND(#REF!&lt;#REF!,#REF!&lt;#REF!)</formula>
    </cfRule>
  </conditionalFormatting>
  <conditionalFormatting sqref="E901 R779">
    <cfRule type="expression" dxfId="183" priority="132" stopIfTrue="1">
      <formula>$G$906&lt;&gt;0</formula>
    </cfRule>
  </conditionalFormatting>
  <conditionalFormatting sqref="BA784">
    <cfRule type="expression" dxfId="182" priority="131" stopIfTrue="1">
      <formula>$BB$784&lt;0</formula>
    </cfRule>
  </conditionalFormatting>
  <conditionalFormatting sqref="BA785">
    <cfRule type="expression" dxfId="181" priority="130" stopIfTrue="1">
      <formula>$BB$785&lt;0</formula>
    </cfRule>
  </conditionalFormatting>
  <conditionalFormatting sqref="E930:E945">
    <cfRule type="cellIs" dxfId="180" priority="129" stopIfTrue="1" operator="equal">
      <formula>0</formula>
    </cfRule>
  </conditionalFormatting>
  <conditionalFormatting sqref="L777 G956 F957">
    <cfRule type="expression" dxfId="179" priority="128" stopIfTrue="1">
      <formula>$E$110&gt;0</formula>
    </cfRule>
  </conditionalFormatting>
  <conditionalFormatting sqref="E968:E969">
    <cfRule type="expression" dxfId="178" priority="127" stopIfTrue="1">
      <formula>$E$969&lt;0</formula>
    </cfRule>
  </conditionalFormatting>
  <conditionalFormatting sqref="E972:E974 D974">
    <cfRule type="expression" dxfId="177" priority="126" stopIfTrue="1">
      <formula>$E$974&lt;=0</formula>
    </cfRule>
  </conditionalFormatting>
  <conditionalFormatting sqref="B906:E906 B910:E910">
    <cfRule type="expression" dxfId="176" priority="125" stopIfTrue="1">
      <formula>$W$742=$S$735</formula>
    </cfRule>
  </conditionalFormatting>
  <conditionalFormatting sqref="B912:E913">
    <cfRule type="expression" dxfId="175" priority="124" stopIfTrue="1">
      <formula>$E$913=0</formula>
    </cfRule>
  </conditionalFormatting>
  <conditionalFormatting sqref="C900:D900 T745:W745">
    <cfRule type="expression" dxfId="174" priority="123" stopIfTrue="1">
      <formula>$W$742=$S$735</formula>
    </cfRule>
  </conditionalFormatting>
  <conditionalFormatting sqref="C915:F916">
    <cfRule type="expression" dxfId="173" priority="122" stopIfTrue="1">
      <formula>$F$915=0</formula>
    </cfRule>
  </conditionalFormatting>
  <conditionalFormatting sqref="S834:S860 T746:W746 H878 G915">
    <cfRule type="expression" dxfId="172" priority="121" stopIfTrue="1">
      <formula>$V$745&lt;=0</formula>
    </cfRule>
  </conditionalFormatting>
  <conditionalFormatting sqref="H924:H925 H879 G916">
    <cfRule type="expression" dxfId="171" priority="120" stopIfTrue="1">
      <formula>$Z$717&lt;100%</formula>
    </cfRule>
  </conditionalFormatting>
  <conditionalFormatting sqref="K806">
    <cfRule type="expression" dxfId="170" priority="119" stopIfTrue="1">
      <formula>$BB$783=0</formula>
    </cfRule>
  </conditionalFormatting>
  <conditionalFormatting sqref="J881 I891 J879 I889 J877 H887:I887 H888 G925 F926">
    <cfRule type="expression" dxfId="169" priority="118"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168" priority="117" stopIfTrue="1">
      <formula>$R$718=1</formula>
    </cfRule>
  </conditionalFormatting>
  <conditionalFormatting sqref="K781">
    <cfRule type="expression" dxfId="167" priority="116" stopIfTrue="1">
      <formula>$L$781=0</formula>
    </cfRule>
  </conditionalFormatting>
  <conditionalFormatting sqref="S747">
    <cfRule type="expression" dxfId="166" priority="115" stopIfTrue="1">
      <formula>$T$747=0</formula>
    </cfRule>
  </conditionalFormatting>
  <conditionalFormatting sqref="T747 L785:L790 L792:L806 T720">
    <cfRule type="cellIs" dxfId="165" priority="114" stopIfTrue="1" operator="equal">
      <formula>0</formula>
    </cfRule>
  </conditionalFormatting>
  <conditionalFormatting sqref="K803">
    <cfRule type="expression" dxfId="164" priority="113" stopIfTrue="1">
      <formula>$W$719=0</formula>
    </cfRule>
  </conditionalFormatting>
  <conditionalFormatting sqref="K804">
    <cfRule type="expression" dxfId="163" priority="112" stopIfTrue="1">
      <formula>$W$739=0</formula>
    </cfRule>
  </conditionalFormatting>
  <conditionalFormatting sqref="K794">
    <cfRule type="expression" dxfId="162" priority="111" stopIfTrue="1">
      <formula>$BB$778=0</formula>
    </cfRule>
  </conditionalFormatting>
  <conditionalFormatting sqref="S720">
    <cfRule type="expression" dxfId="161" priority="110" stopIfTrue="1">
      <formula>#REF!=0</formula>
    </cfRule>
  </conditionalFormatting>
  <conditionalFormatting sqref="K793">
    <cfRule type="expression" dxfId="160" priority="109" stopIfTrue="1">
      <formula>$Y$714=0</formula>
    </cfRule>
  </conditionalFormatting>
  <conditionalFormatting sqref="K790">
    <cfRule type="expression" dxfId="159" priority="108" stopIfTrue="1">
      <formula>$BB$775=$S$709</formula>
    </cfRule>
  </conditionalFormatting>
  <conditionalFormatting sqref="K788">
    <cfRule type="expression" dxfId="158" priority="107" stopIfTrue="1">
      <formula>#REF!=0</formula>
    </cfRule>
  </conditionalFormatting>
  <conditionalFormatting sqref="K786">
    <cfRule type="expression" dxfId="157" priority="106" stopIfTrue="1">
      <formula>#REF!=0</formula>
    </cfRule>
  </conditionalFormatting>
  <conditionalFormatting sqref="K785">
    <cfRule type="expression" dxfId="156" priority="105" stopIfTrue="1">
      <formula>$S$705=0</formula>
    </cfRule>
  </conditionalFormatting>
  <conditionalFormatting sqref="K787">
    <cfRule type="expression" dxfId="155" priority="104" stopIfTrue="1">
      <formula>$S$706=0</formula>
    </cfRule>
  </conditionalFormatting>
  <conditionalFormatting sqref="K795:K802">
    <cfRule type="expression" dxfId="154" priority="103" stopIfTrue="1">
      <formula>$AW$722=0</formula>
    </cfRule>
  </conditionalFormatting>
  <conditionalFormatting sqref="H868:H870 G905 F906">
    <cfRule type="expression" dxfId="153" priority="102" stopIfTrue="1">
      <formula>$V$745&gt;0</formula>
    </cfRule>
  </conditionalFormatting>
  <conditionalFormatting sqref="F907">
    <cfRule type="expression" dxfId="152" priority="101" stopIfTrue="1">
      <formula>$BB$786=0</formula>
    </cfRule>
  </conditionalFormatting>
  <conditionalFormatting sqref="G906">
    <cfRule type="expression" dxfId="151" priority="100" stopIfTrue="1">
      <formula>$G$906=0</formula>
    </cfRule>
  </conditionalFormatting>
  <conditionalFormatting sqref="V756:Y756">
    <cfRule type="expression" dxfId="150" priority="99" stopIfTrue="1">
      <formula>#REF!=0</formula>
    </cfRule>
  </conditionalFormatting>
  <conditionalFormatting sqref="Y722">
    <cfRule type="expression" dxfId="149" priority="98" stopIfTrue="1">
      <formula>AND(#REF!&lt;#REF!,#REF!&lt;#REF!)</formula>
    </cfRule>
  </conditionalFormatting>
  <conditionalFormatting sqref="Y723">
    <cfRule type="expression" dxfId="148" priority="97" stopIfTrue="1">
      <formula>AND(#REF!&lt;#REF!,#REF!&lt;#REF!)</formula>
    </cfRule>
  </conditionalFormatting>
  <conditionalFormatting sqref="S757">
    <cfRule type="cellIs" dxfId="147" priority="96" stopIfTrue="1" operator="greaterThan">
      <formula>0</formula>
    </cfRule>
  </conditionalFormatting>
  <conditionalFormatting sqref="E904:F904">
    <cfRule type="expression" dxfId="146" priority="95" stopIfTrue="1">
      <formula>$F$904&lt;64</formula>
    </cfRule>
  </conditionalFormatting>
  <conditionalFormatting sqref="H876 G913 F914">
    <cfRule type="expression" dxfId="145" priority="94" stopIfTrue="1">
      <formula>$W$742=$S$735</formula>
    </cfRule>
  </conditionalFormatting>
  <conditionalFormatting sqref="G911 F912">
    <cfRule type="expression" dxfId="144" priority="93" stopIfTrue="1">
      <formula>$W$742=$S$735</formula>
    </cfRule>
  </conditionalFormatting>
  <conditionalFormatting sqref="G901 E902:F902">
    <cfRule type="expression" dxfId="143" priority="92" stopIfTrue="1">
      <formula>$W$742=$S$735</formula>
    </cfRule>
  </conditionalFormatting>
  <conditionalFormatting sqref="G909 F910">
    <cfRule type="expression" dxfId="142" priority="91" stopIfTrue="1">
      <formula>$W$742=$S$735</formula>
    </cfRule>
  </conditionalFormatting>
  <conditionalFormatting sqref="K792">
    <cfRule type="expression" dxfId="141" priority="90" stopIfTrue="1">
      <formula>$BB$776=0</formula>
    </cfRule>
  </conditionalFormatting>
  <conditionalFormatting sqref="K789">
    <cfRule type="expression" dxfId="140" priority="89" stopIfTrue="1">
      <formula>$BB$774=0</formula>
    </cfRule>
  </conditionalFormatting>
  <conditionalFormatting sqref="C919:E920">
    <cfRule type="expression" dxfId="139" priority="88" stopIfTrue="1">
      <formula>$E$913=0</formula>
    </cfRule>
  </conditionalFormatting>
  <conditionalFormatting sqref="B917:F918">
    <cfRule type="expression" dxfId="138" priority="86" stopIfTrue="1">
      <formula>#REF!=0</formula>
    </cfRule>
    <cfRule type="expression" dxfId="137" priority="87" stopIfTrue="1">
      <formula>#REF!=0</formula>
    </cfRule>
  </conditionalFormatting>
  <conditionalFormatting sqref="E903:F903 F958:F959">
    <cfRule type="expression" dxfId="136" priority="85" stopIfTrue="1">
      <formula>$F$905&gt;67</formula>
    </cfRule>
  </conditionalFormatting>
  <conditionalFormatting sqref="N754 X824:Y825 X821:X823 X826:X827 X810:Y820 Z810:Z827 H779:H791 H797 I29:I31">
    <cfRule type="expression" dxfId="135" priority="83" stopIfTrue="1">
      <formula>$C$59=0</formula>
    </cfRule>
  </conditionalFormatting>
  <conditionalFormatting sqref="V732">
    <cfRule type="expression" dxfId="134" priority="82" stopIfTrue="1">
      <formula>$AF$707=AC754</formula>
    </cfRule>
  </conditionalFormatting>
  <conditionalFormatting sqref="C905">
    <cfRule type="expression" dxfId="133" priority="76" stopIfTrue="1">
      <formula>$AF$707=AC754</formula>
    </cfRule>
  </conditionalFormatting>
  <conditionalFormatting sqref="D905">
    <cfRule type="expression" dxfId="132" priority="75" stopIfTrue="1">
      <formula>$AF$707=AC754</formula>
    </cfRule>
  </conditionalFormatting>
  <conditionalFormatting sqref="E905 B905">
    <cfRule type="expression" dxfId="131" priority="74" stopIfTrue="1">
      <formula>$AF$707=Z754</formula>
    </cfRule>
  </conditionalFormatting>
  <conditionalFormatting sqref="G904">
    <cfRule type="expression" dxfId="130" priority="73" stopIfTrue="1">
      <formula>$AF$707=AC754</formula>
    </cfRule>
  </conditionalFormatting>
  <conditionalFormatting sqref="F905">
    <cfRule type="expression" dxfId="129" priority="72" stopIfTrue="1">
      <formula>$AF$707=AC754</formula>
    </cfRule>
  </conditionalFormatting>
  <conditionalFormatting sqref="H867">
    <cfRule type="expression" dxfId="128" priority="71" stopIfTrue="1">
      <formula>$AF$707=AC754</formula>
    </cfRule>
  </conditionalFormatting>
  <conditionalFormatting sqref="B2">
    <cfRule type="expression" dxfId="127" priority="70" stopIfTrue="1">
      <formula>$AB$17=AE44</formula>
    </cfRule>
  </conditionalFormatting>
  <conditionalFormatting sqref="Z810:Z827 H779:H796">
    <cfRule type="expression" dxfId="126" priority="69" stopIfTrue="1">
      <formula>$C$54=1</formula>
    </cfRule>
  </conditionalFormatting>
  <conditionalFormatting sqref="H778">
    <cfRule type="expression" dxfId="125" priority="67" stopIfTrue="1">
      <formula>$C$59=1</formula>
    </cfRule>
    <cfRule type="expression" dxfId="124" priority="68" stopIfTrue="1">
      <formula>$C$59=0</formula>
    </cfRule>
  </conditionalFormatting>
  <conditionalFormatting sqref="H792:H796">
    <cfRule type="expression" dxfId="123" priority="66" stopIfTrue="1">
      <formula>$C$58=0</formula>
    </cfRule>
  </conditionalFormatting>
  <conditionalFormatting sqref="H873 G910 F911">
    <cfRule type="expression" dxfId="122" priority="65" stopIfTrue="1">
      <formula>$E$110&lt;&gt;0</formula>
    </cfRule>
  </conditionalFormatting>
  <conditionalFormatting sqref="I34 I26:I32 H24 H23:I23 J21:J26 H21:H22 H26:H30">
    <cfRule type="expression" dxfId="121" priority="64" stopIfTrue="1">
      <formula>$C$39=0</formula>
    </cfRule>
  </conditionalFormatting>
  <conditionalFormatting sqref="H871">
    <cfRule type="expression" dxfId="120" priority="51" stopIfTrue="1">
      <formula>ROUND($H$871,2)=ROUND($G$908,2)</formula>
    </cfRule>
  </conditionalFormatting>
  <conditionalFormatting sqref="I206:J206 L205:L223 I207:I223">
    <cfRule type="expression" dxfId="119" priority="49" stopIfTrue="1">
      <formula>$Q$2=$M168</formula>
    </cfRule>
    <cfRule type="expression" dxfId="118" priority="50" stopIfTrue="1">
      <formula>$C$39=0</formula>
    </cfRule>
  </conditionalFormatting>
  <conditionalFormatting sqref="J126:K135 K118:K125">
    <cfRule type="expression" dxfId="117" priority="46" stopIfTrue="1">
      <formula>$CC$12&lt;&gt;$C$5</formula>
    </cfRule>
    <cfRule type="expression" dxfId="116" priority="47" stopIfTrue="1">
      <formula>$Q$2=$M81</formula>
    </cfRule>
    <cfRule type="expression" dxfId="115" priority="48" stopIfTrue="1">
      <formula>$C$39=0</formula>
    </cfRule>
  </conditionalFormatting>
  <conditionalFormatting sqref="M80:N98 M168:M186">
    <cfRule type="expression" dxfId="114" priority="44" stopIfTrue="1">
      <formula>$Q$2=$M80</formula>
    </cfRule>
    <cfRule type="expression" dxfId="113" priority="45" stopIfTrue="1">
      <formula>$C$39=0</formula>
    </cfRule>
  </conditionalFormatting>
  <conditionalFormatting sqref="Q61:AC106 S60:AC60">
    <cfRule type="expression" dxfId="112" priority="42" stopIfTrue="1">
      <formula>$Q$2=$M94</formula>
    </cfRule>
    <cfRule type="expression" dxfId="111" priority="43" stopIfTrue="1">
      <formula>$C$39=0</formula>
    </cfRule>
  </conditionalFormatting>
  <conditionalFormatting sqref="F24">
    <cfRule type="expression" dxfId="110" priority="40" stopIfTrue="1">
      <formula>$C$39=0</formula>
    </cfRule>
  </conditionalFormatting>
  <conditionalFormatting sqref="F28">
    <cfRule type="expression" dxfId="109" priority="39" stopIfTrue="1">
      <formula>$C$39=0</formula>
    </cfRule>
  </conditionalFormatting>
  <conditionalFormatting sqref="F33">
    <cfRule type="expression" dxfId="108" priority="37" stopIfTrue="1">
      <formula>$C$39=0</formula>
    </cfRule>
  </conditionalFormatting>
  <conditionalFormatting sqref="C23:E23 C24:F24 B25:F26">
    <cfRule type="expression" dxfId="107" priority="36" stopIfTrue="1">
      <formula>$C$19=$F$19</formula>
    </cfRule>
  </conditionalFormatting>
  <conditionalFormatting sqref="B27:F33">
    <cfRule type="expression" dxfId="106" priority="35" stopIfTrue="1">
      <formula>$C$19=$F$18</formula>
    </cfRule>
  </conditionalFormatting>
  <conditionalFormatting sqref="AO705:AP714">
    <cfRule type="expression" dxfId="105" priority="31" stopIfTrue="1">
      <formula>$L$776=$AO705</formula>
    </cfRule>
    <cfRule type="expression" dxfId="104" priority="32" stopIfTrue="1">
      <formula>$I$29=0</formula>
    </cfRule>
  </conditionalFormatting>
  <conditionalFormatting sqref="S27:S34">
    <cfRule type="expression" dxfId="103" priority="13" stopIfTrue="1">
      <formula>$C$39=0</formula>
    </cfRule>
  </conditionalFormatting>
  <conditionalFormatting sqref="B35:C35">
    <cfRule type="expression" dxfId="102" priority="12" stopIfTrue="1">
      <formula>$C$19=$F$18</formula>
    </cfRule>
  </conditionalFormatting>
  <conditionalFormatting sqref="J21:J26 S27:S34">
    <cfRule type="expression" dxfId="101" priority="11" stopIfTrue="1">
      <formula>$C$9=1</formula>
    </cfRule>
  </conditionalFormatting>
  <conditionalFormatting sqref="C24:E24 C28:E28">
    <cfRule type="expression" dxfId="100" priority="6" stopIfTrue="1">
      <formula>$C$10="חטיבת ביניים"</formula>
    </cfRule>
    <cfRule type="expression" dxfId="99" priority="7" stopIfTrue="1">
      <formula>$C$10="ז-ח"</formula>
    </cfRule>
    <cfRule type="expression" dxfId="98" priority="8" stopIfTrue="1">
      <formula>$C$10="א-ו"</formula>
    </cfRule>
  </conditionalFormatting>
  <conditionalFormatting sqref="G25:H25">
    <cfRule type="expression" dxfId="97" priority="5" stopIfTrue="1">
      <formula>$C$39=0</formula>
    </cfRule>
  </conditionalFormatting>
  <conditionalFormatting sqref="J31:J32 J27:J29">
    <cfRule type="expression" dxfId="96" priority="4" stopIfTrue="1">
      <formula>$C$39=0</formula>
    </cfRule>
  </conditionalFormatting>
  <conditionalFormatting sqref="J30">
    <cfRule type="expression" dxfId="95" priority="3" stopIfTrue="1">
      <formula>$C$39=0</formula>
    </cfRule>
  </conditionalFormatting>
  <conditionalFormatting sqref="J30 J27:J28">
    <cfRule type="expression" dxfId="94" priority="2" stopIfTrue="1">
      <formula>$C$9=1</formula>
    </cfRule>
  </conditionalFormatting>
  <conditionalFormatting sqref="J29">
    <cfRule type="expression" dxfId="93" priority="1" stopIfTrue="1">
      <formula>$C$59=0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0EFE5AD8-9350-464E-9757-CA4C4210EB39}"/>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30F1DF91-7C89-4D82-A76C-C98051362147}">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D89CB14D-6E61-4AA2-A78E-384E4284CA88}">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2CE24FA6-C27E-4AB2-9581-7A6DD201BAAB}">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03386117-6E45-4D31-AFDD-61B573B7DC0E}">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2B4C1593-13B9-40EC-822E-42A4E4241104}">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ED8277B2-D1E7-4441-82FD-2277D4B44EB8}">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3455CE21-A5F2-4D89-B94F-D99F2D9AD6B5}">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BDCF62FF-C904-49EA-8342-CA681A6C4056}">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0B50C616-33E4-454A-9D6E-D6586614789F}">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FAA397B1-DB1F-4572-AA0E-ABBD4123B49D}">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74C98348-F853-4C2D-9B66-951BA63F956E}">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1084A7A2-C03C-4B7E-9588-F0BCA974C91B}">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51721CC3-6CBC-45D6-8B64-59EE42C8B776}">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AAEB50A-C63B-48A1-B3C4-6617F86BD44C}">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A6FA0A9E-E880-4CB5-B0B0-AC90A97F477C}">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7FC6564A-A5E3-48DF-A3B3-ADAAC444AD3A}">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F3B2091B-D8EE-438F-918E-09694FF57B16}">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C7B5E386-E626-4EF3-8452-D4CF364550FC}">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D64211EB-DEB6-419F-99EA-ACB5E4517E60}">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4AF56E2-5D8A-4538-849F-ABD7A2CFF863}">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404C23D0-8CD2-4B1F-A4BA-9E08FF75881F}">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832B473B-01E1-4B90-8636-21F7C392B78F}">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A3AD4CC4-1632-49FE-B6F0-E48B6937159E}">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71ACD307-38EF-494D-A894-DDCEF073A637}">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3A03391D-6614-4207-811C-0227357454D6}">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9E51DD2A-081B-4F6F-8C84-D9208FC1982B}">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8FEA6112-82D3-4F11-8D8B-902424B23369}">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0D8C53D2-673E-419E-9260-E2B647A6C254}">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ACB067C3-8526-413D-B5D8-D766A103A2FD}">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606F11ED-673A-498D-BF62-E55A2FCD6896}">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E3CD431F-B07C-4861-9557-E95EE10246AF}">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45505AE-344C-40B1-A32B-7FBE3A4C7A5A}">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E996B333-F034-46A1-9B83-A7FC214F69CB}">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53C3260E-0081-413E-BA52-4EA86FA274A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87F1ABBE-06B9-4021-8AD3-D6C338CB362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EC0EB54C-C4DF-4865-8E26-130BDADF83A2}">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44AB47BE-B791-4CF4-BE65-CA44056C9C7F}">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286EC12B-3F79-4C9E-A951-E48E2CCDE0DB}">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EF42F3F3-F30A-4F6F-A510-7D23DD67C56A}">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0B2EBBA1-6DD0-4692-B188-55C0D861B38C}">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0F92E82B-4AF0-47DC-B970-36FD2B0280FE}">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E5331656-600A-4A03-9E4F-51CC88FF7457}">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10392FF7-57EF-4333-9F1F-0C513C8818F1}">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A7AB4F31-BE94-4A35-8ABE-3630B7C91E7A}">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CCAC38F4-1CF0-436C-81C2-EDC9AB53858D}">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77FE7C47-DA52-4C39-B46E-F8729C91216F}">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4CC6D241-203A-46B4-9BE2-70D5E3C792AB}">
      <formula1>$F$18:$F$19</formula1>
    </dataValidation>
  </dataValidations>
  <hyperlinks>
    <hyperlink ref="W745" location="'עובדי הוראה'!H528" display="'עובדי הוראה'!H528" xr:uid="{DAC41258-7460-4725-8275-D5AE953685FA}"/>
    <hyperlink ref="V746" location="'עובדי הוראה'!I381" display="'עובדי הוראה'!I381" xr:uid="{3E2B0B07-F94D-4FDD-85E7-814BE443A348}"/>
    <hyperlink ref="Y721" r:id="rId1" display="אתר לעדכון גרסה " xr:uid="{7FCC82A4-C063-4D66-863B-C53BE12DC483}"/>
    <hyperlink ref="U757" location="'כלל המגזר צבורי'!B1" display="'כלל המגזר צבורי'!B1" xr:uid="{ECB55D00-DC34-4E19-8843-51CDB4E24231}"/>
    <hyperlink ref="R770" location="'רשות המיסים'!B56" display="'רשות המיסים'!B56" xr:uid="{86402D9B-3A86-4B22-B2F8-D4535DD32E43}"/>
    <hyperlink ref="R770:S770" location="'מורים אופק חדש'!B65" display="'מורים אופק חדש'!B65" xr:uid="{9E0F3F8D-8D9F-483B-B487-8858560665CD}"/>
    <hyperlink ref="R770:U770" location="'עובדי הוראה אופק חדש'!B65" display="'עובדי הוראה אופק חדש'!B65" xr:uid="{2215DBCD-CAE8-49DE-8AAA-0C8A682CD9EC}"/>
    <hyperlink ref="E899" location="'מורים אופק חדש'!B1" display="כל  תוצאה  המתקבלת בסימולטור ובטבלאות השונות הינה באחריות המשתמש בלבד !!!" xr:uid="{A6C89FFC-8F1D-405F-B5F5-3E02838456B7}"/>
    <hyperlink ref="F920" location="'מורים אופק חדש'!B40" display="'מורים אופק חדש'!B40" xr:uid="{27EBA2E0-9834-41D3-8383-11ADF4552D3F}"/>
    <hyperlink ref="P707" location="'מורים אופק חדש'!B466" display="'מורים אופק חדש'!B466" xr:uid="{626D41CB-66E8-4102-8472-7A96A8523CEF}"/>
    <hyperlink ref="O707" location="'מורים אופק חדש'!H528" display="'מורים אופק חדש'!H528" xr:uid="{2F62CF60-6356-4C17-ABF9-9B36F858B655}"/>
    <hyperlink ref="B926" location="'מורים אופק חדש'!B40" display="'מורים אופק חדש'!B40" xr:uid="{D261B398-C0D0-4538-86DA-2C6AC18C8387}"/>
    <hyperlink ref="G947" location="'מורים אופק חדש'!B40" display="'מורים אופק חדש'!B40" xr:uid="{CA0FCF58-A17D-493E-9F04-15DC4A39E6FA}"/>
    <hyperlink ref="E977" location="'מורים אופק חדש'!B40" display="'מורים אופק חדש'!B40" xr:uid="{36B40126-D721-46F2-838F-1ABC69A54149}"/>
    <hyperlink ref="C900" location="'מורים אופק חדש'!H331" display="'מורים אופק חדש'!H331" xr:uid="{7EED97F1-73E1-4DB4-ACAC-741946FC2E4F}"/>
    <hyperlink ref="R770:T770" location="'מורים אופק חדש'!B65" display="'מורים אופק חדש'!B65" xr:uid="{FD69AA53-8DE9-41E7-A96D-28CF98DE5813}"/>
    <hyperlink ref="C915:F916" r:id="rId2" display="בעת מילוי טופס 161א בקש פטור מס מוגדל   למענק  החייב,  בסך  :" xr:uid="{08A91331-42E0-4EE1-BF2D-0FD4D8794692}"/>
    <hyperlink ref="C919:E919" r:id="rId3" display="אם ברצונך בפריסת מס עליך להגיש בקשה בטופס  116ג" xr:uid="{4826C22C-F171-4D2B-8D76-32174181604E}"/>
    <hyperlink ref="B948" location="'מורים אופק חדש'!B40" display="'מורים אופק חדש'!B40" xr:uid="{319D44D4-FF45-446F-AB9F-B602EC5CDC02}"/>
    <hyperlink ref="H776" r:id="rId4" display="האימייל שלי " xr:uid="{309FE27B-6168-40C1-9CEF-1E4EBBFCACB5}"/>
    <hyperlink ref="I776" r:id="rId5" xr:uid="{28E8A789-845F-4887-A810-D04A04F0D56B}"/>
    <hyperlink ref="AB35" location="'עובדי הוראה'!H528" display="'עובדי הוראה'!H528" xr:uid="{4797E48A-34FA-4DB9-9C23-8C152135B123}"/>
    <hyperlink ref="AA36" location="'עובדי הוראה'!I381" display="'עובדי הוראה'!I381" xr:uid="{C7D7637E-9F66-45F4-8FB5-2C4CFC99820F}"/>
    <hyperlink ref="AD18" r:id="rId6" display="אתר לעדכון גרסה " xr:uid="{A906F4B3-15DF-4A23-BE49-6E9563CFADAD}"/>
    <hyperlink ref="Z47" location="'כלל המגזר צבורי'!B1" display="'כלל המגזר צבורי'!B1" xr:uid="{3E181184-47E7-43EB-B457-7519815A0E57}"/>
    <hyperlink ref="W60" location="'רשות המיסים'!B56" display="'רשות המיסים'!B56" xr:uid="{079F6C82-B197-4AF3-AE2C-457B67C72308}"/>
    <hyperlink ref="W60:X60" location="'מורים אופק חדש'!B65" display="'מורים אופק חדש'!B65" xr:uid="{8DF832C7-08F4-47BB-ACDE-7330F7307455}"/>
    <hyperlink ref="W60:Z60" location="'עובדי הוראה אופק חדש'!B65" display="'עובדי הוראה אופק חדש'!B65" xr:uid="{449349E7-03D3-4847-BEE2-BA3F4EF11293}"/>
    <hyperlink ref="G195" location="'מורים אופק חדש'!B40" display="'מורים אופק חדש'!B40" xr:uid="{4AEA4BD8-D654-40DA-8790-AE7C72251FE9}"/>
    <hyperlink ref="U4" location="'מורים אופק חדש'!B466" display="'מורים אופק חדש'!B466" xr:uid="{B2407B7A-8AEC-420F-8AAD-689CCC2CB407}"/>
    <hyperlink ref="T4" location="'מורים אופק חדש'!H528" display="'מורים אופק חדש'!H528" xr:uid="{5B2166B8-C935-42AA-B07C-ED10AA82CC1A}"/>
    <hyperlink ref="B214" location="'מורים אופק חדש'!B40" display="'מורים אופק חדש'!B40" xr:uid="{F32F9C35-4AFA-4364-A6DB-3D6AEB6C7C69}"/>
    <hyperlink ref="C184" location="'מורים אופק חדש'!H331" display="'מורים אופק חדש'!H331" xr:uid="{33E1ACB0-266E-4CD9-ACF7-BB444131ACF9}"/>
    <hyperlink ref="W60:Y60" location="'מורים אופק חדש'!B65" display="'מורים אופק חדש'!B65" xr:uid="{7A8E8C9A-4395-43D7-96C1-4E6A67A3F511}"/>
    <hyperlink ref="C190:G191" r:id="rId7" display="בעת מילוי טופס 161א בקש פטור מס מוגדל   למענק  החייב,  בסך  :" xr:uid="{788E0E68-A687-4B1D-BE47-C65BFB1343A3}"/>
    <hyperlink ref="C195:F195" r:id="rId8" display="אם ברצונך בפריסת מס עליך להגיש בקשה בטופס  116ג" xr:uid="{918A97EF-FFCB-4078-BD12-AF8FDB1EA6DA}"/>
    <hyperlink ref="H849" location="'כלל המגזר צבורי'!H262" display="'כלל המגזר צבורי'!H262" xr:uid="{C5D81CC1-87A2-4AF2-9711-A03BF409FDA2}"/>
    <hyperlink ref="H851" location="'מה חדש'!A51" display="'מה חדש'!A51" xr:uid="{74545F70-9226-46B9-838F-6402AE3FE399}"/>
    <hyperlink ref="H850" location="'כלל המגזר צבורי'!I103" display="'כלל המגזר צבורי'!I103" xr:uid="{A757E507-6E61-40E5-9CD6-BEFFEFF32D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90665-C972-42F9-BB65-F637C70D0A1E}">
  <dimension ref="A1:DT984"/>
  <sheetViews>
    <sheetView rightToLeft="1" tabSelected="1" topLeftCell="A2" zoomScale="85" zoomScaleNormal="85" workbookViewId="0">
      <selection activeCell="C26" sqref="C26"/>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5"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3" t="s">
        <v>52</v>
      </c>
      <c r="C1" s="24"/>
      <c r="D1" s="25"/>
      <c r="E1" s="25"/>
      <c r="F1" s="26"/>
      <c r="G1" s="27"/>
      <c r="H1" s="27" t="s">
        <v>53</v>
      </c>
      <c r="I1" s="27"/>
      <c r="J1" s="27"/>
      <c r="K1" s="27"/>
      <c r="L1" s="27"/>
      <c r="M1" s="27"/>
      <c r="N1" s="27"/>
      <c r="O1" s="27"/>
      <c r="P1" s="27">
        <f>N82</f>
        <v>6300.0034374999996</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7.25" thickTop="1" thickBot="1" x14ac:dyDescent="0.3">
      <c r="B2" s="28" t="s">
        <v>59</v>
      </c>
      <c r="C2" s="29" t="s">
        <v>60</v>
      </c>
      <c r="D2" s="30"/>
      <c r="E2" s="30"/>
      <c r="F2" s="31" t="s">
        <v>61</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75" thickTop="1" thickBot="1" x14ac:dyDescent="0.25">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1</v>
      </c>
      <c r="D6" s="37" t="s">
        <v>81</v>
      </c>
      <c r="E6" s="38"/>
      <c r="F6" s="41"/>
      <c r="G6" s="27"/>
      <c r="H6" s="27"/>
      <c r="I6" s="27"/>
      <c r="J6" s="27"/>
      <c r="K6" s="27"/>
      <c r="L6" s="27"/>
      <c r="M6" s="27"/>
      <c r="N6" s="27" t="s">
        <v>82</v>
      </c>
      <c r="O6" s="27" t="s">
        <v>83</v>
      </c>
      <c r="P6" s="27">
        <f>P4*C9</f>
        <v>2967.49</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1</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1</v>
      </c>
      <c r="D9" s="209" t="s">
        <v>100</v>
      </c>
      <c r="E9" s="210"/>
      <c r="F9" s="27"/>
      <c r="G9" s="27"/>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f>F14</f>
        <v>0.16800000000000001</v>
      </c>
      <c r="D10" s="46" t="s">
        <v>111</v>
      </c>
      <c r="E10" s="39"/>
      <c r="F10" s="27"/>
      <c r="G10" s="188" t="s">
        <v>607</v>
      </c>
      <c r="H10" s="27"/>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ht="15" x14ac:dyDescent="0.25">
      <c r="B11" s="47" t="s">
        <v>32</v>
      </c>
      <c r="C11" s="48">
        <v>0</v>
      </c>
      <c r="D11" s="209" t="s">
        <v>118</v>
      </c>
      <c r="E11" s="210"/>
      <c r="F11" s="27"/>
      <c r="G11" s="27"/>
      <c r="H11" s="187">
        <v>0</v>
      </c>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ht="15"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ht="15" x14ac:dyDescent="0.25">
      <c r="A13" s="49"/>
      <c r="B13" s="47" t="s">
        <v>5</v>
      </c>
      <c r="C13" s="48">
        <v>0</v>
      </c>
      <c r="D13" s="209" t="s">
        <v>118</v>
      </c>
      <c r="E13" s="210"/>
      <c r="F13" s="27"/>
      <c r="G13" s="27"/>
      <c r="H13" s="27"/>
      <c r="I13" s="27"/>
      <c r="J13" s="27"/>
      <c r="K13" s="27">
        <f>($I$7+$I$8+$I$10+$I$11+$I$9+500)*1.2%*($C$7)*C9</f>
        <v>52.5</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09" t="s">
        <v>133</v>
      </c>
      <c r="E14" s="210"/>
      <c r="F14" s="27">
        <f>F16*(F15+1)</f>
        <v>0.16800000000000001</v>
      </c>
      <c r="G14" s="27"/>
      <c r="H14" s="27"/>
      <c r="I14" s="27"/>
      <c r="J14" s="27"/>
      <c r="K14" s="27">
        <f>($I$7+$I$8+$I$10+$I$11+$I$9+500)*1.2%*($C$8)*C9</f>
        <v>6</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v>1</v>
      </c>
      <c r="D16" s="209" t="s">
        <v>149</v>
      </c>
      <c r="E16" s="210"/>
      <c r="F16" s="27">
        <f>IF(AND(C19=F18,E25&gt;0),VLOOKUP(C17,CZ12:DA43,2,TRUE)*0.01+E25*0.007+0.006,IF(C19=F18,VLOOKUP(C17,CZ12:DA43,2,TRUE)*0.01,VLOOKUP(C17,CZ12:DB43,3,TRUE)*0.01))</f>
        <v>0.16800000000000001</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ht="15"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83.702039999999997</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ht="15"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1</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ht="15"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t="s">
        <v>180</v>
      </c>
      <c r="C20" s="36" t="s">
        <v>183</v>
      </c>
      <c r="D20" s="209" t="s">
        <v>195</v>
      </c>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t="s">
        <v>208</v>
      </c>
      <c r="C21" s="191" t="str">
        <f>G3</f>
        <v>מנהל אקדמאי קיים</v>
      </c>
      <c r="D21" s="213" t="s">
        <v>209</v>
      </c>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25">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
      <c r="B25" s="58" t="s">
        <v>261</v>
      </c>
      <c r="C25" s="58">
        <v>1</v>
      </c>
      <c r="D25" s="58">
        <v>0</v>
      </c>
      <c r="E25" s="58">
        <v>0</v>
      </c>
      <c r="F25" s="59">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274.09312754315999</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
      <c r="B26" s="52" t="s">
        <v>269</v>
      </c>
      <c r="C26" s="55">
        <f>C25*1</f>
        <v>1</v>
      </c>
      <c r="D26" s="55">
        <f>D25*1.1</f>
        <v>0</v>
      </c>
      <c r="E26" s="55">
        <f>E25*2</f>
        <v>0</v>
      </c>
      <c r="F26" s="60">
        <f>SUM(C26:E26)</f>
        <v>1</v>
      </c>
      <c r="G26" s="27" t="s">
        <v>270</v>
      </c>
      <c r="H26" s="27"/>
      <c r="I26" s="27"/>
      <c r="J26" s="27"/>
      <c r="K26" s="27"/>
      <c r="L26" s="27"/>
      <c r="M26" s="27"/>
      <c r="N26" s="27"/>
      <c r="O26" s="27"/>
      <c r="P26" s="27"/>
      <c r="Q26" s="27" t="e">
        <f>SUM(Q10:Q25)</f>
        <v>#REF!</v>
      </c>
      <c r="R26" s="27">
        <f>SUM(R10:R24)*'[1]נתוני מס'!L22*(1+'[1]נתוני מס'!L23)</f>
        <v>370.72618239809862</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25">
      <c r="C27" s="61"/>
      <c r="D27" s="61" t="s">
        <v>182</v>
      </c>
      <c r="E27" s="61"/>
      <c r="G27" s="27"/>
      <c r="H27" s="27"/>
      <c r="I27" s="27"/>
      <c r="J27" s="27"/>
      <c r="K27" s="27"/>
      <c r="L27" s="27"/>
      <c r="M27" s="27"/>
      <c r="N27" s="27"/>
      <c r="O27" s="27"/>
      <c r="P27" s="27"/>
      <c r="Q27" s="27"/>
      <c r="R27" s="27">
        <f>SUM(R10:R26)</f>
        <v>8258.5172972512592</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
      <c r="B30" s="52" t="s">
        <v>269</v>
      </c>
      <c r="C30" s="52">
        <f>C29*2.4</f>
        <v>36</v>
      </c>
      <c r="D30" s="52">
        <f>D29*2.2</f>
        <v>0</v>
      </c>
      <c r="E30" s="52">
        <f>E29*2</f>
        <v>0</v>
      </c>
      <c r="F30" s="60">
        <f>SUM(C30:E30)</f>
        <v>36</v>
      </c>
      <c r="G30" s="27"/>
      <c r="H30" s="27"/>
      <c r="I30" s="27"/>
      <c r="J30" s="27"/>
      <c r="K30" s="27"/>
      <c r="L30" s="27"/>
      <c r="M30" s="27"/>
      <c r="N30" s="27"/>
      <c r="O30" s="27" t="s">
        <v>299</v>
      </c>
      <c r="P30" s="27">
        <f>IF($C$21=$S$723,15%,15%*0.8)</f>
        <v>0.15</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
      <c r="B39" s="27" t="s">
        <v>374</v>
      </c>
      <c r="C39" s="27">
        <f>IF($C$38="א-ו",J111,IF($C$38="ז-ח",J112,IF($C$38="חטיבת ביניים",J112-2.5%,#REF!)))</f>
        <v>0</v>
      </c>
      <c r="D39" s="27" t="s">
        <v>375</v>
      </c>
      <c r="E39" s="27"/>
      <c r="F39" s="27"/>
      <c r="G39" s="27"/>
      <c r="H39" s="27"/>
      <c r="I39" s="27">
        <v>3</v>
      </c>
      <c r="J39" s="27">
        <f>IF(C21=S723,1*L853,IF(C21=S724,0.75*L853,IF(C21=S725,0.6836*L853,0.5948*L853)))</f>
        <v>1</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1</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
      <c r="B70" s="27"/>
      <c r="C70" s="27"/>
      <c r="D70" s="27"/>
      <c r="E70" s="27"/>
      <c r="F70" s="27"/>
      <c r="G70" s="27"/>
      <c r="H70" s="27"/>
      <c r="I70" s="27"/>
      <c r="J70" s="27"/>
      <c r="K70" s="27"/>
      <c r="L70" s="27"/>
      <c r="M70" s="27"/>
      <c r="N70" s="27"/>
      <c r="O70" s="27">
        <v>755</v>
      </c>
      <c r="P70" s="27"/>
      <c r="Q70" s="27"/>
      <c r="R70" s="27" t="s">
        <v>440</v>
      </c>
      <c r="S70" s="27">
        <f>VLOOKUP(S69,S72:S88,1,1)</f>
        <v>11552.402776248533</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
      <c r="B72" s="27"/>
      <c r="C72" s="27"/>
      <c r="D72" s="27"/>
      <c r="E72" s="27"/>
      <c r="F72" s="27"/>
      <c r="G72" s="27"/>
      <c r="H72" s="27"/>
      <c r="I72" s="27"/>
      <c r="J72" s="27"/>
      <c r="K72" s="27"/>
      <c r="L72" s="27"/>
      <c r="M72" s="27"/>
      <c r="N72" s="27"/>
      <c r="O72" s="27">
        <v>628</v>
      </c>
      <c r="P72" s="27"/>
      <c r="Q72" s="27"/>
      <c r="R72" s="27">
        <f>IF(OR($C$5=$CB$16,$C$5=$CC$16),S72*1.05,S72)</f>
        <v>6300.0034374999996</v>
      </c>
      <c r="S72" s="27">
        <f>VLOOKUP(INT(W18),ofek4,1+2,FALSE)</f>
        <v>6300.0034374999996</v>
      </c>
      <c r="T72" s="27">
        <f>S72*0.75</f>
        <v>4725.0025781249997</v>
      </c>
      <c r="U72" s="27">
        <f t="shared" ref="U72:U88" si="5">T72*$U$70</f>
        <v>4307.0548375782419</v>
      </c>
      <c r="V72" s="27">
        <f t="shared" ref="V72:V88" si="6">U72*$S$64</f>
        <v>3747.0515675963188</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
      <c r="B73" s="27"/>
      <c r="C73" s="27"/>
      <c r="D73" s="27"/>
      <c r="E73" s="27"/>
      <c r="F73" s="27"/>
      <c r="G73" s="27"/>
      <c r="H73" s="27"/>
      <c r="I73" s="27"/>
      <c r="J73" s="27"/>
      <c r="K73" s="27"/>
      <c r="L73" s="27"/>
      <c r="M73" s="27"/>
      <c r="N73" s="27"/>
      <c r="O73" s="27">
        <v>543</v>
      </c>
      <c r="P73" s="27"/>
      <c r="Q73" s="27"/>
      <c r="R73" s="27">
        <f>R72*1.0375</f>
        <v>6536.2535664062498</v>
      </c>
      <c r="S73" s="27">
        <f>S72*1.0375</f>
        <v>6536.2535664062498</v>
      </c>
      <c r="T73" s="27">
        <f t="shared" ref="T73:T88" si="7">S73*0.75</f>
        <v>4902.1901748046876</v>
      </c>
      <c r="U73" s="27">
        <f t="shared" si="5"/>
        <v>4468.5693939874263</v>
      </c>
      <c r="V73" s="27">
        <f t="shared" si="6"/>
        <v>3887.5660013811812</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
      <c r="B74" s="27"/>
      <c r="C74" s="27"/>
      <c r="D74" s="27"/>
      <c r="E74" s="27"/>
      <c r="F74" s="27"/>
      <c r="G74" s="27"/>
      <c r="H74" s="27"/>
      <c r="I74" s="27" t="s">
        <v>448</v>
      </c>
      <c r="J74" s="27"/>
      <c r="K74" s="27"/>
      <c r="L74" s="27"/>
      <c r="M74" s="27"/>
      <c r="N74" s="27"/>
      <c r="O74" s="27">
        <v>543</v>
      </c>
      <c r="P74" s="27"/>
      <c r="Q74" s="27"/>
      <c r="R74" s="27">
        <f>IF(OR($C$5=$CB$16,$C$5=$CC$16),S74*1.05,S74)</f>
        <v>6772.5036953124991</v>
      </c>
      <c r="S74" s="27">
        <f>VLOOKUP(INT(W18),ofek4,2+2,FALSE)</f>
        <v>6772.5036953124991</v>
      </c>
      <c r="T74" s="27">
        <f t="shared" si="7"/>
        <v>5079.3777714843745</v>
      </c>
      <c r="U74" s="27">
        <f t="shared" si="5"/>
        <v>4630.0839503966099</v>
      </c>
      <c r="V74" s="27">
        <f t="shared" si="6"/>
        <v>4028.0804351660427</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
      <c r="B75" s="27"/>
      <c r="C75" s="27"/>
      <c r="D75" s="27"/>
      <c r="E75" s="27"/>
      <c r="F75" s="27"/>
      <c r="G75" s="27"/>
      <c r="H75" s="27"/>
      <c r="I75" s="27">
        <f>C25+D25+E25</f>
        <v>1</v>
      </c>
      <c r="J75" s="27"/>
      <c r="K75" s="27">
        <f>D25*0.1</f>
        <v>0</v>
      </c>
      <c r="L75" s="27">
        <f>E25*1</f>
        <v>0</v>
      </c>
      <c r="M75" s="27"/>
      <c r="N75" s="27"/>
      <c r="O75" s="27">
        <v>543</v>
      </c>
      <c r="P75" s="27"/>
      <c r="Q75" s="27"/>
      <c r="R75" s="27">
        <f>R74*1.0375</f>
        <v>7026.472583886718</v>
      </c>
      <c r="S75" s="27">
        <f>S74*1.0375</f>
        <v>7026.472583886718</v>
      </c>
      <c r="T75" s="27">
        <f t="shared" si="7"/>
        <v>5269.8544379150389</v>
      </c>
      <c r="U75" s="27">
        <f t="shared" si="5"/>
        <v>4803.7120985364836</v>
      </c>
      <c r="V75" s="27">
        <f t="shared" si="6"/>
        <v>4179.1334514847695</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
      <c r="B76" s="27"/>
      <c r="C76" s="27"/>
      <c r="D76" s="27"/>
      <c r="E76" s="27"/>
      <c r="F76" s="27"/>
      <c r="G76" s="27"/>
      <c r="H76" s="27"/>
      <c r="I76" s="27"/>
      <c r="J76" s="27"/>
      <c r="K76" s="27"/>
      <c r="L76" s="27"/>
      <c r="M76" s="27"/>
      <c r="N76" s="27"/>
      <c r="O76" s="27">
        <v>543</v>
      </c>
      <c r="P76" s="27"/>
      <c r="Q76" s="27"/>
      <c r="R76" s="27">
        <f>IF(OR($C$5=$CB$16,$C$5=$CC$16),S76*1.05,S76)</f>
        <v>7280.441472460936</v>
      </c>
      <c r="S76" s="27">
        <f>VLOOKUP(INT(W18),ofek4,3+2,FALSE)</f>
        <v>7280.441472460936</v>
      </c>
      <c r="T76" s="27">
        <f t="shared" si="7"/>
        <v>5460.3311043457015</v>
      </c>
      <c r="U76" s="27">
        <f t="shared" si="5"/>
        <v>4977.3402466763546</v>
      </c>
      <c r="V76" s="27">
        <f t="shared" si="6"/>
        <v>4330.1864678034945</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
      <c r="B77" s="27"/>
      <c r="C77" s="27"/>
      <c r="D77" s="27"/>
      <c r="E77" s="27"/>
      <c r="F77" s="27"/>
      <c r="G77" s="27"/>
      <c r="H77" s="27"/>
      <c r="I77" s="27"/>
      <c r="J77" s="27"/>
      <c r="K77" s="27">
        <f>I75+K75+L75</f>
        <v>1</v>
      </c>
      <c r="L77" s="27"/>
      <c r="M77" s="27"/>
      <c r="N77" s="27"/>
      <c r="O77" s="27">
        <v>543</v>
      </c>
      <c r="P77" s="27"/>
      <c r="Q77" s="27"/>
      <c r="R77" s="27">
        <f>R76*1.0375</f>
        <v>7553.4580276782217</v>
      </c>
      <c r="S77" s="27">
        <f>S76*1.0375</f>
        <v>7553.4580276782217</v>
      </c>
      <c r="T77" s="27">
        <f t="shared" si="7"/>
        <v>5665.0935207586663</v>
      </c>
      <c r="U77" s="27">
        <f t="shared" si="5"/>
        <v>5163.9905059267185</v>
      </c>
      <c r="V77" s="27">
        <f t="shared" si="6"/>
        <v>4492.5684603461268</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
      <c r="B78" s="27"/>
      <c r="C78" s="27"/>
      <c r="D78" s="27"/>
      <c r="E78" s="27"/>
      <c r="F78" s="27"/>
      <c r="G78" s="27"/>
      <c r="H78" s="27"/>
      <c r="I78" s="27"/>
      <c r="J78" s="27"/>
      <c r="K78" s="27"/>
      <c r="L78" s="27"/>
      <c r="M78" s="27"/>
      <c r="N78" s="27"/>
      <c r="O78" s="27">
        <v>543</v>
      </c>
      <c r="P78" s="27"/>
      <c r="Q78" s="27"/>
      <c r="R78" s="27">
        <f>IF(OR($C$5=$CB$16,$C$5=$CC$16),S78*1.05,S78)</f>
        <v>7826.4745828955056</v>
      </c>
      <c r="S78" s="27">
        <f>VLOOKUP(INT(W18),ofek4,4+2,FALSE)</f>
        <v>7826.4745828955056</v>
      </c>
      <c r="T78" s="27">
        <f t="shared" si="7"/>
        <v>5869.8559371716292</v>
      </c>
      <c r="U78" s="27">
        <f t="shared" si="5"/>
        <v>5350.6407651770814</v>
      </c>
      <c r="V78" s="27">
        <f t="shared" si="6"/>
        <v>4654.9504528887574</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
      <c r="B79" s="27"/>
      <c r="C79" s="27"/>
      <c r="D79" s="27"/>
      <c r="E79" s="27"/>
      <c r="F79" s="27"/>
      <c r="G79" s="27"/>
      <c r="H79" s="27"/>
      <c r="I79" s="27"/>
      <c r="J79" s="27"/>
      <c r="K79" s="27"/>
      <c r="L79" s="27"/>
      <c r="M79" s="27"/>
      <c r="N79" s="27"/>
      <c r="O79" s="27">
        <v>543</v>
      </c>
      <c r="P79" s="27"/>
      <c r="Q79" s="27"/>
      <c r="R79" s="27">
        <f>R78*1.0375</f>
        <v>8119.9673797540881</v>
      </c>
      <c r="S79" s="27">
        <f>S78*1.0375</f>
        <v>8119.9673797540881</v>
      </c>
      <c r="T79" s="27">
        <f t="shared" si="7"/>
        <v>6089.9755348155659</v>
      </c>
      <c r="U79" s="27">
        <f t="shared" si="5"/>
        <v>5551.2897938712222</v>
      </c>
      <c r="V79" s="27">
        <f t="shared" si="6"/>
        <v>4829.5110948720858</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
      <c r="B80" s="27"/>
      <c r="C80" s="27"/>
      <c r="D80" s="27"/>
      <c r="E80" s="27"/>
      <c r="F80" s="27"/>
      <c r="G80" s="27"/>
      <c r="H80" s="27"/>
      <c r="I80" s="27"/>
      <c r="J80" s="27"/>
      <c r="K80" s="27"/>
      <c r="L80" s="27"/>
      <c r="M80" s="27" t="s">
        <v>453</v>
      </c>
      <c r="N80" s="27"/>
      <c r="O80" s="27">
        <v>543</v>
      </c>
      <c r="P80" s="27"/>
      <c r="Q80" s="27"/>
      <c r="R80" s="27">
        <f>IF(OR($C$5=$CB$16,$C$5=$CC$16),S80*1.05,S80)</f>
        <v>8413.4601766126689</v>
      </c>
      <c r="S80" s="27">
        <f>VLOOKUP(INT(W18),ofek4,5+2,FALSE)</f>
        <v>8413.4601766126689</v>
      </c>
      <c r="T80" s="27">
        <f t="shared" si="7"/>
        <v>6310.0951324595017</v>
      </c>
      <c r="U80" s="27">
        <f t="shared" si="5"/>
        <v>5751.9388225653629</v>
      </c>
      <c r="V80" s="27">
        <f t="shared" si="6"/>
        <v>5004.0717368554142</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
      <c r="B81" s="27"/>
      <c r="C81" s="27"/>
      <c r="D81" s="27"/>
      <c r="E81" s="27"/>
      <c r="F81" s="27"/>
      <c r="G81" s="27"/>
      <c r="H81" s="27"/>
      <c r="I81" s="27"/>
      <c r="J81" s="27"/>
      <c r="K81" s="27"/>
      <c r="L81" s="27"/>
      <c r="M81" s="27" t="s">
        <v>278</v>
      </c>
      <c r="N81" s="27" t="str">
        <f>W18&amp;"  שנות הוראה  "</f>
        <v xml:space="preserve">1  שנות הוראה  </v>
      </c>
      <c r="O81" s="27">
        <v>543</v>
      </c>
      <c r="P81" s="27"/>
      <c r="Q81" s="27"/>
      <c r="R81" s="27">
        <f>R80*1.0375</f>
        <v>8728.9649332356439</v>
      </c>
      <c r="S81" s="27">
        <f>S80*1.0375</f>
        <v>8728.9649332356439</v>
      </c>
      <c r="T81" s="27">
        <f t="shared" si="7"/>
        <v>6546.7236999267334</v>
      </c>
      <c r="U81" s="27">
        <f t="shared" si="5"/>
        <v>5967.6365284115645</v>
      </c>
      <c r="V81" s="27">
        <f t="shared" si="6"/>
        <v>5191.7244269874927</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
      <c r="B82" s="27"/>
      <c r="C82" s="27"/>
      <c r="D82" s="27"/>
      <c r="E82" s="27"/>
      <c r="F82" s="27"/>
      <c r="G82" s="27"/>
      <c r="H82" s="27"/>
      <c r="I82" s="27"/>
      <c r="J82" s="27"/>
      <c r="K82" s="27"/>
      <c r="L82" s="27"/>
      <c r="M82" s="27">
        <v>1</v>
      </c>
      <c r="N82" s="27">
        <f t="shared" ref="N82:N98" si="8">IF($C$5=$CB$16,R72*1.05,IF($C$5=$CE$16,T72,IF($C$5=$CF$16,U72,IF(OR($C$5=$CC$16,$C$5=$CD$16),S72,U72*$S$64))))</f>
        <v>6300.0034374999996</v>
      </c>
      <c r="O82" s="27"/>
      <c r="P82" s="27"/>
      <c r="Q82" s="27"/>
      <c r="R82" s="27">
        <f>IF(OR($C$5=$CB$16,$C$5=$CC$16),S82*1.05,S82)</f>
        <v>9044.4696898586189</v>
      </c>
      <c r="S82" s="27">
        <f>VLOOKUP(INT(W18),ofek4,6+2,FALSE)</f>
        <v>9044.4696898586189</v>
      </c>
      <c r="T82" s="27">
        <f t="shared" si="7"/>
        <v>6783.3522673939642</v>
      </c>
      <c r="U82" s="27">
        <f t="shared" si="5"/>
        <v>6183.3342342577653</v>
      </c>
      <c r="V82" s="27">
        <f t="shared" si="6"/>
        <v>5379.3771171195704</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
      <c r="B83" s="27"/>
      <c r="C83" s="27"/>
      <c r="D83" s="27"/>
      <c r="E83" s="27"/>
      <c r="F83" s="27"/>
      <c r="G83" s="27"/>
      <c r="H83" s="27"/>
      <c r="I83" s="27"/>
      <c r="J83" s="27"/>
      <c r="K83" s="27"/>
      <c r="L83" s="27"/>
      <c r="M83" s="27">
        <v>1.5</v>
      </c>
      <c r="N83" s="27">
        <f t="shared" si="8"/>
        <v>6536.2535664062498</v>
      </c>
      <c r="O83" s="27"/>
      <c r="P83" s="27"/>
      <c r="Q83" s="27"/>
      <c r="R83" s="27">
        <f>R82*1.0375</f>
        <v>9383.6373032283173</v>
      </c>
      <c r="S83" s="27">
        <f>S82*1.0425</f>
        <v>9428.8596516776106</v>
      </c>
      <c r="T83" s="27">
        <f t="shared" si="7"/>
        <v>7071.6447387582084</v>
      </c>
      <c r="U83" s="27">
        <f t="shared" si="5"/>
        <v>6446.1259392137208</v>
      </c>
      <c r="V83" s="27">
        <f t="shared" si="6"/>
        <v>5608.000644597153</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
      <c r="B84" s="27"/>
      <c r="C84" s="27"/>
      <c r="D84" s="27"/>
      <c r="E84" s="27"/>
      <c r="F84" s="27"/>
      <c r="G84" s="27"/>
      <c r="H84" s="27"/>
      <c r="I84" s="27"/>
      <c r="J84" s="27"/>
      <c r="K84" s="27"/>
      <c r="L84" s="27"/>
      <c r="M84" s="27">
        <v>2</v>
      </c>
      <c r="N84" s="27">
        <f t="shared" si="8"/>
        <v>6772.5036953124991</v>
      </c>
      <c r="O84" s="27"/>
      <c r="P84" s="27"/>
      <c r="Q84" s="27"/>
      <c r="R84" s="27">
        <f>IF(OR($C$5=$CB$16,$C$5=$CC$16),S84*1.05,S84)</f>
        <v>9813.2496134966004</v>
      </c>
      <c r="S84" s="27">
        <f>VLOOKUP(INT(W18),ofek4,7+2,FALSE)</f>
        <v>9813.2496134966004</v>
      </c>
      <c r="T84" s="27">
        <f>S84*0.75</f>
        <v>7359.9372101224508</v>
      </c>
      <c r="U84" s="27">
        <f t="shared" si="5"/>
        <v>6708.9176441696745</v>
      </c>
      <c r="V84" s="27">
        <f t="shared" si="6"/>
        <v>5836.624172074733</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
      <c r="B85" s="27"/>
      <c r="C85" s="27"/>
      <c r="D85" s="27"/>
      <c r="E85" s="27"/>
      <c r="F85" s="27"/>
      <c r="G85" s="27"/>
      <c r="H85" s="27"/>
      <c r="I85" s="27"/>
      <c r="J85" s="27"/>
      <c r="K85" s="27"/>
      <c r="L85" s="27"/>
      <c r="M85" s="27">
        <v>2.5</v>
      </c>
      <c r="N85" s="27">
        <f t="shared" si="8"/>
        <v>7026.472583886718</v>
      </c>
      <c r="O85" s="27" t="s">
        <v>9</v>
      </c>
      <c r="P85" s="27" t="s">
        <v>12</v>
      </c>
      <c r="Q85" s="27" t="s">
        <v>13</v>
      </c>
      <c r="R85" s="27">
        <f>R84*1.0375</f>
        <v>10181.246474002724</v>
      </c>
      <c r="S85" s="27">
        <f>S84*1.0425</f>
        <v>10230.312722070206</v>
      </c>
      <c r="T85" s="27">
        <f t="shared" si="7"/>
        <v>7672.7345415526543</v>
      </c>
      <c r="U85" s="27">
        <f t="shared" si="5"/>
        <v>6994.0466440468854</v>
      </c>
      <c r="V85" s="27">
        <f t="shared" si="6"/>
        <v>6084.680699387909</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
      <c r="B86" s="27"/>
      <c r="C86" s="27"/>
      <c r="D86" s="27"/>
      <c r="E86" s="27"/>
      <c r="F86" s="27"/>
      <c r="G86" s="27"/>
      <c r="H86" s="27"/>
      <c r="I86" s="27"/>
      <c r="J86" s="27"/>
      <c r="K86" s="27"/>
      <c r="L86" s="27"/>
      <c r="M86" s="27">
        <v>3</v>
      </c>
      <c r="N86" s="27">
        <f t="shared" si="8"/>
        <v>7280.441472460936</v>
      </c>
      <c r="O86" s="27">
        <f t="shared" ref="O86:O102" si="9">N120*0.75</f>
        <v>4725.0025781249997</v>
      </c>
      <c r="P86" s="27">
        <f t="shared" ref="P86:P102" si="10">O86*$U$70</f>
        <v>4307.0548375782419</v>
      </c>
      <c r="Q86" s="27">
        <f t="shared" ref="Q86:Q102" si="11">P86*$S$64</f>
        <v>3747.0515675963188</v>
      </c>
      <c r="R86" s="27">
        <f>IF(OR($C$5=$CB$16,$C$5=$CC$16),S86*1.05,S86)</f>
        <v>10647.37583064381</v>
      </c>
      <c r="S86" s="27">
        <f>VLOOKUP(INT(W18),ofek4,8+2,FALSE)</f>
        <v>10647.37583064381</v>
      </c>
      <c r="T86" s="27">
        <f t="shared" si="7"/>
        <v>7985.5318729828577</v>
      </c>
      <c r="U86" s="27">
        <f t="shared" si="5"/>
        <v>7279.1756439240953</v>
      </c>
      <c r="V86" s="27">
        <f t="shared" si="6"/>
        <v>6332.7372267010842</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
      <c r="A87" t="s">
        <v>59</v>
      </c>
      <c r="B87" s="27"/>
      <c r="C87" s="27"/>
      <c r="D87" s="27"/>
      <c r="E87" s="27"/>
      <c r="F87" s="27"/>
      <c r="G87" s="27"/>
      <c r="H87" s="27"/>
      <c r="I87" s="27"/>
      <c r="J87" s="27"/>
      <c r="K87" s="27"/>
      <c r="L87" s="27"/>
      <c r="M87" s="27">
        <v>3.5</v>
      </c>
      <c r="N87" s="27">
        <f t="shared" si="8"/>
        <v>7553.4580276782217</v>
      </c>
      <c r="O87" s="27">
        <f t="shared" si="9"/>
        <v>4902.1901748046876</v>
      </c>
      <c r="P87" s="27">
        <f t="shared" si="10"/>
        <v>4468.5693939874263</v>
      </c>
      <c r="Q87" s="27">
        <f t="shared" si="11"/>
        <v>3887.5660013811812</v>
      </c>
      <c r="R87" s="27">
        <f>R86*1.0375</f>
        <v>11046.652424292954</v>
      </c>
      <c r="S87" s="27">
        <f>S86*1.0425</f>
        <v>11099.889303446173</v>
      </c>
      <c r="T87" s="27">
        <f t="shared" si="7"/>
        <v>8324.9169775846294</v>
      </c>
      <c r="U87" s="27">
        <f t="shared" si="5"/>
        <v>7588.5406087908696</v>
      </c>
      <c r="V87" s="27">
        <f t="shared" si="6"/>
        <v>6601.8785588358805</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
      <c r="B88" s="27"/>
      <c r="C88" s="27"/>
      <c r="D88" s="27"/>
      <c r="E88" s="27"/>
      <c r="F88" s="27"/>
      <c r="G88" s="27"/>
      <c r="H88" s="27"/>
      <c r="I88" s="27"/>
      <c r="J88" s="27"/>
      <c r="K88" s="27"/>
      <c r="L88" s="27"/>
      <c r="M88" s="27">
        <v>4</v>
      </c>
      <c r="N88" s="27">
        <f t="shared" si="8"/>
        <v>7826.4745828955056</v>
      </c>
      <c r="O88" s="27">
        <f t="shared" si="9"/>
        <v>5079.3777714843745</v>
      </c>
      <c r="P88" s="27">
        <f t="shared" si="10"/>
        <v>4630.0839503966099</v>
      </c>
      <c r="Q88" s="27">
        <f t="shared" si="11"/>
        <v>4028.0804351660427</v>
      </c>
      <c r="R88" s="27">
        <f>IF(OR($C$5=$CB$16,$C$5=$CC$16),S88*1.05,S88)</f>
        <v>11552.402776248533</v>
      </c>
      <c r="S88" s="27">
        <f>VLOOKUP(INT(W18),ofek4,9+2,FALSE)</f>
        <v>11552.402776248533</v>
      </c>
      <c r="T88" s="27">
        <f t="shared" si="7"/>
        <v>8664.3020821863993</v>
      </c>
      <c r="U88" s="27">
        <f t="shared" si="5"/>
        <v>7897.9055736576429</v>
      </c>
      <c r="V88" s="27">
        <f t="shared" si="6"/>
        <v>6871.019890970676</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
      <c r="B89" s="27"/>
      <c r="C89" s="27"/>
      <c r="D89" s="27"/>
      <c r="E89" s="27"/>
      <c r="F89" s="27"/>
      <c r="G89" s="27"/>
      <c r="H89" s="27"/>
      <c r="I89" s="27"/>
      <c r="J89" s="27"/>
      <c r="K89" s="27"/>
      <c r="L89" s="27"/>
      <c r="M89" s="27">
        <v>4.5</v>
      </c>
      <c r="N89" s="27">
        <f t="shared" si="8"/>
        <v>8119.9673797540881</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
      <c r="B90" s="27"/>
      <c r="C90" s="27"/>
      <c r="D90" s="27"/>
      <c r="E90" s="27"/>
      <c r="F90" s="27"/>
      <c r="G90" s="27"/>
      <c r="H90" s="27"/>
      <c r="I90" s="27"/>
      <c r="J90" s="27"/>
      <c r="K90" s="27"/>
      <c r="L90" s="27"/>
      <c r="M90" s="27">
        <v>5</v>
      </c>
      <c r="N90" s="27">
        <f t="shared" si="8"/>
        <v>8413.4601766126689</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
      <c r="B91" s="27"/>
      <c r="C91" s="27"/>
      <c r="D91" s="27"/>
      <c r="E91" s="27"/>
      <c r="F91" s="27"/>
      <c r="G91" s="27"/>
      <c r="H91" s="27"/>
      <c r="I91" s="27"/>
      <c r="J91" s="27"/>
      <c r="K91" s="27"/>
      <c r="L91" s="27"/>
      <c r="M91" s="27">
        <v>5.5</v>
      </c>
      <c r="N91" s="27">
        <f t="shared" si="8"/>
        <v>8728.9649332356439</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
      <c r="B92" s="27"/>
      <c r="C92" s="27"/>
      <c r="D92" s="27"/>
      <c r="E92" s="27"/>
      <c r="F92" s="27"/>
      <c r="G92" s="27"/>
      <c r="H92" s="27"/>
      <c r="I92" s="27"/>
      <c r="J92" s="27"/>
      <c r="K92" s="27"/>
      <c r="L92" s="27"/>
      <c r="M92" s="27">
        <v>6</v>
      </c>
      <c r="N92" s="27">
        <f t="shared" si="8"/>
        <v>9044.4696898586189</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
      <c r="B93" s="27"/>
      <c r="C93" s="27"/>
      <c r="D93" s="27"/>
      <c r="E93" s="27"/>
      <c r="F93" s="27"/>
      <c r="G93" s="27"/>
      <c r="H93" s="27"/>
      <c r="I93" s="27"/>
      <c r="J93" s="27"/>
      <c r="K93" s="27"/>
      <c r="L93" s="27"/>
      <c r="M93" s="27">
        <v>6.5</v>
      </c>
      <c r="N93" s="27">
        <f t="shared" si="8"/>
        <v>9428.8596516776106</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
      <c r="B94" s="27"/>
      <c r="C94" s="27"/>
      <c r="D94" s="27"/>
      <c r="E94" s="27"/>
      <c r="F94" s="27"/>
      <c r="G94" s="27"/>
      <c r="H94" s="27"/>
      <c r="I94" s="27"/>
      <c r="J94" s="27"/>
      <c r="K94" s="27"/>
      <c r="L94" s="27"/>
      <c r="M94" s="27">
        <v>7</v>
      </c>
      <c r="N94" s="27">
        <f t="shared" si="8"/>
        <v>9813.2496134966004</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
      <c r="B95" s="27"/>
      <c r="C95" s="27"/>
      <c r="D95" s="27"/>
      <c r="E95" s="27"/>
      <c r="F95" s="27"/>
      <c r="G95" s="27"/>
      <c r="H95" s="27"/>
      <c r="I95" s="27"/>
      <c r="J95" s="27"/>
      <c r="K95" s="27"/>
      <c r="L95" s="27"/>
      <c r="M95" s="27">
        <v>7.5</v>
      </c>
      <c r="N95" s="27">
        <f t="shared" si="8"/>
        <v>10230.312722070206</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
      <c r="B96" s="27"/>
      <c r="C96" s="27"/>
      <c r="D96" s="27"/>
      <c r="E96" s="27"/>
      <c r="F96" s="27"/>
      <c r="G96" s="27"/>
      <c r="H96" s="27"/>
      <c r="I96" s="27"/>
      <c r="J96" s="27"/>
      <c r="K96" s="27"/>
      <c r="L96" s="27"/>
      <c r="M96" s="27">
        <v>8</v>
      </c>
      <c r="N96" s="27">
        <f t="shared" si="8"/>
        <v>10647.37583064381</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
      <c r="B97" s="27"/>
      <c r="C97" s="27"/>
      <c r="D97" s="27"/>
      <c r="E97" s="27"/>
      <c r="F97" s="27"/>
      <c r="G97" s="27"/>
      <c r="H97" s="27"/>
      <c r="I97" s="27"/>
      <c r="J97" s="27"/>
      <c r="K97" s="27"/>
      <c r="L97" s="27"/>
      <c r="M97" s="27">
        <v>8.5</v>
      </c>
      <c r="N97" s="27">
        <f t="shared" si="8"/>
        <v>11099.889303446173</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
      <c r="B98" s="27"/>
      <c r="C98" s="27"/>
      <c r="D98" s="27"/>
      <c r="E98" s="27"/>
      <c r="F98" s="27"/>
      <c r="G98" s="27"/>
      <c r="H98" s="27"/>
      <c r="I98" s="27"/>
      <c r="J98" s="27"/>
      <c r="K98" s="27"/>
      <c r="L98" s="27"/>
      <c r="M98" s="27">
        <v>9</v>
      </c>
      <c r="N98" s="27">
        <f t="shared" si="8"/>
        <v>11552.402776248533</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
      <c r="B144" s="27" t="s">
        <v>487</v>
      </c>
      <c r="C144" s="27">
        <v>0.27</v>
      </c>
      <c r="D144" s="27">
        <v>0.37</v>
      </c>
      <c r="E144" s="27">
        <f>C144+12.5%</f>
        <v>0.39500000000000002</v>
      </c>
      <c r="F144" s="27">
        <f>IF(C14&gt;0,30*C9-3,30*C9)</f>
        <v>30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
      <c r="B169" s="27" t="s">
        <v>71</v>
      </c>
      <c r="C169" s="27" t="s">
        <v>509</v>
      </c>
      <c r="D169" s="27"/>
      <c r="E169" s="27"/>
      <c r="F169" s="27"/>
      <c r="G169" s="27">
        <v>8.5</v>
      </c>
      <c r="H169" s="27"/>
      <c r="I169" s="27"/>
      <c r="J169" s="27"/>
      <c r="K169" s="27">
        <v>7</v>
      </c>
      <c r="L169" s="27"/>
      <c r="M169" s="27" t="str">
        <f t="shared" si="14"/>
        <v xml:space="preserve">1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
      <c r="B170" s="27"/>
      <c r="C170" s="27" t="s">
        <v>510</v>
      </c>
      <c r="D170" s="27"/>
      <c r="E170" s="27"/>
      <c r="F170" s="27"/>
      <c r="G170" s="27">
        <v>9</v>
      </c>
      <c r="H170" s="27" t="s">
        <v>59</v>
      </c>
      <c r="I170" s="27"/>
      <c r="J170" s="27"/>
      <c r="K170" s="27">
        <v>7.5</v>
      </c>
      <c r="L170" s="27"/>
      <c r="M170" s="27">
        <f t="shared" si="14"/>
        <v>6300.0034374999996</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
      <c r="B171" s="27"/>
      <c r="C171" s="27" t="s">
        <v>511</v>
      </c>
      <c r="D171" s="27"/>
      <c r="E171" s="27"/>
      <c r="F171" s="27"/>
      <c r="G171" s="27"/>
      <c r="H171" s="27"/>
      <c r="I171" s="27"/>
      <c r="J171" s="27"/>
      <c r="K171" s="27">
        <v>8</v>
      </c>
      <c r="L171" s="27"/>
      <c r="M171" s="27">
        <f t="shared" si="14"/>
        <v>6536.2535664062498</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
      <c r="B172" s="27" t="s">
        <v>512</v>
      </c>
      <c r="C172" s="27">
        <v>0</v>
      </c>
      <c r="D172" s="27"/>
      <c r="E172" s="27"/>
      <c r="F172" s="27"/>
      <c r="G172" s="27"/>
      <c r="H172" s="27"/>
      <c r="I172" s="27"/>
      <c r="J172" s="27"/>
      <c r="K172" s="27">
        <v>8.5</v>
      </c>
      <c r="L172" s="27"/>
      <c r="M172" s="27">
        <f t="shared" si="14"/>
        <v>6772.5036953124991</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
      <c r="B173" s="27" t="s">
        <v>59</v>
      </c>
      <c r="C173" s="27"/>
      <c r="D173" s="27"/>
      <c r="E173" s="27"/>
      <c r="F173" s="27" t="s">
        <v>198</v>
      </c>
      <c r="G173" s="27"/>
      <c r="H173" s="27" t="s">
        <v>513</v>
      </c>
      <c r="I173" s="27">
        <f>DATE(YEAR(J4),MONTH(J4)-MONTH(J4)+1,DAY(J4)-DAY(J4)+1)</f>
        <v>1</v>
      </c>
      <c r="J173" s="27"/>
      <c r="K173" s="27">
        <v>9</v>
      </c>
      <c r="L173" s="27"/>
      <c r="M173" s="27">
        <f t="shared" si="14"/>
        <v>7026.472583886718</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
      <c r="B174" s="27"/>
      <c r="C174" s="27"/>
      <c r="D174" s="27"/>
      <c r="E174" s="27"/>
      <c r="F174" s="27"/>
      <c r="G174" s="27"/>
      <c r="H174" s="27"/>
      <c r="I174" s="27"/>
      <c r="J174" s="27"/>
      <c r="K174" s="27"/>
      <c r="L174" s="27"/>
      <c r="M174" s="27">
        <f t="shared" si="14"/>
        <v>7280.441472460936</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f t="shared" si="14"/>
        <v>7553.4580276782217</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
      <c r="B176" s="27"/>
      <c r="C176" s="27" t="s">
        <v>515</v>
      </c>
      <c r="D176" s="27"/>
      <c r="E176" s="27"/>
      <c r="F176" s="27"/>
      <c r="G176" s="27"/>
      <c r="H176" s="27"/>
      <c r="I176" s="27"/>
      <c r="J176" s="27"/>
      <c r="K176" s="27"/>
      <c r="L176" s="27"/>
      <c r="M176" s="27">
        <f t="shared" si="14"/>
        <v>7826.4745828955056</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
      <c r="B177" s="27"/>
      <c r="C177" s="27" t="s">
        <v>516</v>
      </c>
      <c r="D177" s="27" t="s">
        <v>59</v>
      </c>
      <c r="E177" s="27"/>
      <c r="F177" s="27"/>
      <c r="G177" s="27" t="str">
        <f>AB32</f>
        <v>תקציבית</v>
      </c>
      <c r="H177" s="27"/>
      <c r="I177" s="27" t="e">
        <f>F205</f>
        <v>#REF!</v>
      </c>
      <c r="J177" s="27"/>
      <c r="K177" s="27"/>
      <c r="L177" s="27"/>
      <c r="M177" s="27">
        <f t="shared" si="14"/>
        <v>8119.9673797540881</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
      <c r="B178" s="27"/>
      <c r="C178" s="27" t="s">
        <v>517</v>
      </c>
      <c r="D178" s="27" t="s">
        <v>518</v>
      </c>
      <c r="E178" s="27"/>
      <c r="F178" s="27" t="s">
        <v>519</v>
      </c>
      <c r="G178" s="27">
        <f>67</f>
        <v>67</v>
      </c>
      <c r="H178" s="27"/>
      <c r="I178" s="27"/>
      <c r="J178" s="27"/>
      <c r="K178" s="27"/>
      <c r="L178" s="27"/>
      <c r="M178" s="27">
        <f t="shared" si="14"/>
        <v>8413.4601766126689</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
      <c r="B179" s="27"/>
      <c r="C179" s="27" t="s">
        <v>477</v>
      </c>
      <c r="D179" s="27" t="s">
        <v>520</v>
      </c>
      <c r="E179" s="27"/>
      <c r="F179" s="27" t="s">
        <v>521</v>
      </c>
      <c r="G179" s="27" t="e">
        <f>#REF!</f>
        <v>#REF!</v>
      </c>
      <c r="H179" s="27"/>
      <c r="I179" s="27" t="s">
        <v>59</v>
      </c>
      <c r="J179" s="27"/>
      <c r="K179" s="27"/>
      <c r="L179" s="27"/>
      <c r="M179" s="27">
        <f t="shared" si="14"/>
        <v>8728.9649332356439</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
      <c r="B180" s="27"/>
      <c r="C180" s="27" t="s">
        <v>522</v>
      </c>
      <c r="D180" s="27" t="s">
        <v>476</v>
      </c>
      <c r="E180" s="27"/>
      <c r="F180" s="27" t="s">
        <v>523</v>
      </c>
      <c r="G180" s="27">
        <f>G202</f>
        <v>52.87</v>
      </c>
      <c r="H180" s="27"/>
      <c r="I180" s="27" t="s">
        <v>59</v>
      </c>
      <c r="J180" s="27"/>
      <c r="K180" s="27"/>
      <c r="L180" s="27"/>
      <c r="M180" s="27">
        <f t="shared" si="14"/>
        <v>9044.4696898586189</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
      <c r="B181" s="27"/>
      <c r="C181" s="27" t="s">
        <v>524</v>
      </c>
      <c r="D181" s="27" t="s">
        <v>525</v>
      </c>
      <c r="E181" s="27"/>
      <c r="F181" s="27"/>
      <c r="G181" s="27" t="s">
        <v>526</v>
      </c>
      <c r="H181" s="27"/>
      <c r="I181" s="27"/>
      <c r="J181" s="27"/>
      <c r="K181" s="27"/>
      <c r="L181" s="27"/>
      <c r="M181" s="27">
        <f t="shared" si="14"/>
        <v>9428.8596516776106</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f t="shared" si="14"/>
        <v>9813.2496134966004</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
      <c r="B183" s="27"/>
      <c r="C183" s="27" t="s">
        <v>529</v>
      </c>
      <c r="D183" s="27" t="s">
        <v>479</v>
      </c>
      <c r="E183" s="27"/>
      <c r="F183" s="27" t="e">
        <f>#REF!/#REF!*F187</f>
        <v>#REF!</v>
      </c>
      <c r="G183" s="27" t="s">
        <v>530</v>
      </c>
      <c r="H183" s="27"/>
      <c r="I183" s="27"/>
      <c r="J183" s="27" t="s">
        <v>59</v>
      </c>
      <c r="K183" s="27"/>
      <c r="L183" s="27"/>
      <c r="M183" s="27">
        <f t="shared" si="14"/>
        <v>10230.312722070206</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
      <c r="B184" s="27"/>
      <c r="C184" s="27" t="s">
        <v>531</v>
      </c>
      <c r="D184" s="27"/>
      <c r="E184" s="27"/>
      <c r="F184" s="27" t="e">
        <f>#REF!/#REF!*F187</f>
        <v>#REF!</v>
      </c>
      <c r="G184" s="27" t="s">
        <v>532</v>
      </c>
      <c r="H184" s="27"/>
      <c r="I184" s="27"/>
      <c r="J184" s="27"/>
      <c r="K184" s="27"/>
      <c r="L184" s="27"/>
      <c r="M184" s="27">
        <f t="shared" si="14"/>
        <v>10647.37583064381</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
      <c r="B185" s="27"/>
      <c r="C185" s="27"/>
      <c r="D185" s="27" t="s">
        <v>533</v>
      </c>
      <c r="E185" s="27"/>
      <c r="F185" s="27" t="e">
        <f>#REF!/#REF!*F187</f>
        <v>#REF!</v>
      </c>
      <c r="G185" s="27" t="s">
        <v>534</v>
      </c>
      <c r="H185" s="27"/>
      <c r="I185" s="27"/>
      <c r="J185" s="27"/>
      <c r="K185" s="27"/>
      <c r="L185" s="27"/>
      <c r="M185" s="27">
        <f t="shared" si="14"/>
        <v>11099.889303446173</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
      <c r="B186" s="27" t="s">
        <v>535</v>
      </c>
      <c r="C186" s="27" t="str">
        <f>C5</f>
        <v>ב"א</v>
      </c>
      <c r="D186" s="27"/>
      <c r="E186" s="27"/>
      <c r="F186" s="27" t="e">
        <f>#REF!/#REF!*F187</f>
        <v>#REF!</v>
      </c>
      <c r="G186" s="27" t="s">
        <v>536</v>
      </c>
      <c r="H186" s="27"/>
      <c r="I186" s="27"/>
      <c r="J186" s="27"/>
      <c r="K186" s="27"/>
      <c r="L186" s="27"/>
      <c r="M186" s="27">
        <f t="shared" si="14"/>
        <v>11552.402776248533</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
      <c r="B207" s="27"/>
      <c r="C207" s="27" t="s">
        <v>559</v>
      </c>
      <c r="D207" s="27"/>
      <c r="E207" s="27"/>
      <c r="F207" s="27">
        <v>0</v>
      </c>
      <c r="G207" s="27"/>
      <c r="H207" s="27"/>
      <c r="I207" s="27">
        <f t="shared" ref="I207:I223" si="16">L207</f>
        <v>1</v>
      </c>
      <c r="J207" s="27">
        <f>M170*0.95</f>
        <v>5985.0032656249996</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
      <c r="B208" s="27" t="s">
        <v>59</v>
      </c>
      <c r="C208" s="27" t="s">
        <v>560</v>
      </c>
      <c r="D208" s="27"/>
      <c r="E208" s="27"/>
      <c r="F208" s="27">
        <v>0</v>
      </c>
      <c r="G208" s="27"/>
      <c r="H208" s="27"/>
      <c r="I208" s="27">
        <f t="shared" si="16"/>
        <v>1.5</v>
      </c>
      <c r="J208" s="27">
        <f t="shared" ref="J208:J223" si="17">M171*0.95</f>
        <v>6209.4408880859373</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
      <c r="B209" s="27"/>
      <c r="C209" s="27"/>
      <c r="D209" s="27"/>
      <c r="E209" s="27"/>
      <c r="F209" s="27">
        <v>0</v>
      </c>
      <c r="G209" s="27"/>
      <c r="H209" s="27"/>
      <c r="I209" s="27">
        <f t="shared" si="16"/>
        <v>2</v>
      </c>
      <c r="J209" s="27">
        <f t="shared" si="17"/>
        <v>6433.8785105468742</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
      <c r="B210" s="27"/>
      <c r="C210" s="27"/>
      <c r="D210" s="27"/>
      <c r="E210" s="27"/>
      <c r="F210" s="27">
        <f>BG73</f>
        <v>0</v>
      </c>
      <c r="G210" s="27"/>
      <c r="H210" s="27"/>
      <c r="I210" s="27">
        <f t="shared" si="16"/>
        <v>2.5</v>
      </c>
      <c r="J210" s="27">
        <f t="shared" si="17"/>
        <v>6675.1489546923822</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
      <c r="B211" s="27"/>
      <c r="C211" s="27"/>
      <c r="D211" s="27"/>
      <c r="E211" s="27"/>
      <c r="F211" s="27">
        <f>IF(BG65=X6,0,IF(BG65=X7,10%*P96,IF(BG65=X8,20%*P96,IF(BG65=X9,11.5%*P96,6%*P96))))</f>
        <v>0</v>
      </c>
      <c r="G211" s="27" t="s">
        <v>59</v>
      </c>
      <c r="H211" s="27"/>
      <c r="I211" s="27">
        <f t="shared" si="16"/>
        <v>3</v>
      </c>
      <c r="J211" s="27">
        <f t="shared" si="17"/>
        <v>6916.4193988378893</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
      <c r="B212" s="27"/>
      <c r="C212" s="27"/>
      <c r="D212" s="27"/>
      <c r="E212" s="27"/>
      <c r="F212" s="27">
        <f>BG66</f>
        <v>0</v>
      </c>
      <c r="G212" s="27"/>
      <c r="H212" s="27"/>
      <c r="I212" s="27">
        <f t="shared" si="16"/>
        <v>3.5</v>
      </c>
      <c r="J212" s="27">
        <f t="shared" si="17"/>
        <v>7175.7851262943104</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
      <c r="B213" s="27"/>
      <c r="C213" s="27"/>
      <c r="D213" s="27"/>
      <c r="E213" s="27"/>
      <c r="F213" s="27">
        <f>AD11*P96</f>
        <v>0</v>
      </c>
      <c r="G213" s="27"/>
      <c r="H213" s="27"/>
      <c r="I213" s="27">
        <f t="shared" si="16"/>
        <v>4</v>
      </c>
      <c r="J213" s="27">
        <f t="shared" si="17"/>
        <v>7435.1508537507298</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
      <c r="B214" s="27" t="s">
        <v>545</v>
      </c>
      <c r="C214" s="27"/>
      <c r="D214" s="27"/>
      <c r="E214" s="27"/>
      <c r="F214" s="27" t="e">
        <f>SUM(F205:F208)*BG68</f>
        <v>#REF!</v>
      </c>
      <c r="G214" s="27"/>
      <c r="H214" s="27"/>
      <c r="I214" s="27">
        <f t="shared" si="16"/>
        <v>4.5</v>
      </c>
      <c r="J214" s="27">
        <f t="shared" si="17"/>
        <v>7713.9690107663837</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
      <c r="B215" s="27"/>
      <c r="C215" s="27"/>
      <c r="D215" s="27"/>
      <c r="E215" s="27"/>
      <c r="F215" s="27" t="e">
        <f>J187*F214</f>
        <v>#REF!</v>
      </c>
      <c r="G215" s="27" t="s">
        <v>59</v>
      </c>
      <c r="H215" s="27"/>
      <c r="I215" s="27">
        <f t="shared" si="16"/>
        <v>5</v>
      </c>
      <c r="J215" s="27">
        <f t="shared" si="17"/>
        <v>7992.7871677820349</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
      <c r="B216" s="27"/>
      <c r="C216" s="27"/>
      <c r="D216" s="27"/>
      <c r="E216" s="27"/>
      <c r="F216" s="27" t="e">
        <f>J188*F205</f>
        <v>#REF!</v>
      </c>
      <c r="G216" s="27"/>
      <c r="H216" s="27"/>
      <c r="I216" s="27">
        <f t="shared" si="16"/>
        <v>5.5</v>
      </c>
      <c r="J216" s="27">
        <f t="shared" si="17"/>
        <v>8292.5166865738611</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
      <c r="B217" s="27"/>
      <c r="C217" s="27"/>
      <c r="D217" s="27"/>
      <c r="E217" s="27"/>
      <c r="F217" s="27" t="e">
        <f>SUM(F205:F208)*AB29</f>
        <v>#REF!</v>
      </c>
      <c r="G217" s="27"/>
      <c r="H217" s="27"/>
      <c r="I217" s="27">
        <f t="shared" si="16"/>
        <v>6</v>
      </c>
      <c r="J217" s="27">
        <f t="shared" si="17"/>
        <v>8592.2462053656873</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
      <c r="B218" s="27"/>
      <c r="C218" s="27"/>
      <c r="D218" s="27"/>
      <c r="E218" s="27"/>
      <c r="F218" s="27" t="e">
        <f>F205*BG72</f>
        <v>#REF!</v>
      </c>
      <c r="G218" s="27"/>
      <c r="H218" s="27"/>
      <c r="I218" s="27">
        <f t="shared" si="16"/>
        <v>6.5</v>
      </c>
      <c r="J218" s="27">
        <f t="shared" si="17"/>
        <v>8957.4166690937291</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
      <c r="B219" s="27"/>
      <c r="C219" s="27"/>
      <c r="D219" s="27"/>
      <c r="E219" s="27"/>
      <c r="F219" s="27" t="e">
        <f>SUM(F205:F208)*BG64</f>
        <v>#REF!</v>
      </c>
      <c r="G219" s="27"/>
      <c r="H219" s="27"/>
      <c r="I219" s="27">
        <f t="shared" si="16"/>
        <v>7</v>
      </c>
      <c r="J219" s="27">
        <f t="shared" si="17"/>
        <v>9322.5871328217709</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
      <c r="B220" s="27"/>
      <c r="C220" s="27"/>
      <c r="D220" s="27"/>
      <c r="E220" s="27"/>
      <c r="F220" s="27">
        <v>0</v>
      </c>
      <c r="G220" s="27" t="s">
        <v>561</v>
      </c>
      <c r="H220" s="27"/>
      <c r="I220" s="27">
        <f t="shared" si="16"/>
        <v>7.5</v>
      </c>
      <c r="J220" s="27">
        <f t="shared" si="17"/>
        <v>9718.7970859666948</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
      <c r="B221" s="27"/>
      <c r="C221" s="27"/>
      <c r="D221" s="27"/>
      <c r="E221" s="27"/>
      <c r="F221" s="27">
        <v>0</v>
      </c>
      <c r="G221" s="27" t="s">
        <v>562</v>
      </c>
      <c r="H221" s="27"/>
      <c r="I221" s="27">
        <f t="shared" si="16"/>
        <v>8</v>
      </c>
      <c r="J221" s="27">
        <f t="shared" si="17"/>
        <v>10115.007039111619</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
      <c r="B222" s="27"/>
      <c r="C222" s="27" t="str">
        <f>BF73</f>
        <v>תוספת ערבה</v>
      </c>
      <c r="D222" s="27">
        <f>AB39</f>
        <v>0</v>
      </c>
      <c r="E222" s="27"/>
      <c r="F222" s="27" t="e">
        <f>SUM(F205:F221)</f>
        <v>#REF!</v>
      </c>
      <c r="G222" s="27"/>
      <c r="H222" s="27"/>
      <c r="I222" s="27">
        <f t="shared" si="16"/>
        <v>8.5</v>
      </c>
      <c r="J222" s="27">
        <f t="shared" si="17"/>
        <v>10544.894838273864</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
      <c r="B223" s="27"/>
      <c r="C223" s="27"/>
      <c r="D223" s="27"/>
      <c r="E223" s="27"/>
      <c r="F223" s="27"/>
      <c r="G223" s="27"/>
      <c r="H223" s="27"/>
      <c r="I223" s="27">
        <f t="shared" si="16"/>
        <v>9</v>
      </c>
      <c r="J223" s="27">
        <f t="shared" si="17"/>
        <v>10974.782637436107</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
      <c r="G710" s="27"/>
      <c r="H710" s="27"/>
      <c r="I710" s="27"/>
      <c r="J710" s="27"/>
      <c r="K710" s="27"/>
      <c r="L710" s="27"/>
      <c r="M710" s="27"/>
      <c r="N710" s="27"/>
      <c r="O710" s="27">
        <f ca="1">ROUND((I775-AL723)/365.25,2)</f>
        <v>65.760000000000005</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
      <c r="G711" s="27"/>
      <c r="H711" s="27"/>
      <c r="I711" s="27"/>
      <c r="J711" s="27"/>
      <c r="K711" s="27"/>
      <c r="L711" s="27"/>
      <c r="M711" s="27"/>
      <c r="N711" s="27"/>
      <c r="O711" s="27">
        <f ca="1">IF(BB769=CB719,59-O710,60-O710)</f>
        <v>-5.7600000000000051</v>
      </c>
      <c r="P711" s="27" t="s">
        <v>96</v>
      </c>
      <c r="Q711" s="27">
        <f ca="1">Q710+O711</f>
        <v>-5.4000000000000048</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
      <c r="G712" s="27"/>
      <c r="H712" s="27"/>
      <c r="I712" s="27"/>
      <c r="J712" s="27"/>
      <c r="K712" s="27"/>
      <c r="L712" s="27"/>
      <c r="M712" s="27"/>
      <c r="N712" s="27"/>
      <c r="O712" s="27">
        <f ca="1">IF(AD738+O711&gt;36,36,AD738+O711)</f>
        <v>27.239999999999995</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06/2016</v>
      </c>
      <c r="AY720" s="27">
        <f ca="1">YEAR(AQ719+I775)+AR718</f>
        <v>2016</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21</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
      <c r="G738" s="27"/>
      <c r="H738" s="27"/>
      <c r="I738" s="27"/>
      <c r="J738" s="27"/>
      <c r="K738" s="27"/>
      <c r="L738" s="27"/>
      <c r="M738" s="27" t="s">
        <v>54</v>
      </c>
      <c r="N738" s="27">
        <f ca="1">ROUND((I775-AT720)/365.25,2)</f>
        <v>13.25</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21</v>
      </c>
      <c r="AE739" s="27"/>
      <c r="AF739" s="27"/>
      <c r="AG739" s="27"/>
      <c r="AH739" s="27">
        <v>40209</v>
      </c>
      <c r="AI739" s="27"/>
      <c r="AJ739" s="27"/>
      <c r="AK739" s="27"/>
      <c r="AL739" s="27"/>
      <c r="AM739" s="27"/>
      <c r="AN739" s="27">
        <v>15</v>
      </c>
      <c r="AO739" s="27">
        <v>36</v>
      </c>
      <c r="AP739" s="27"/>
      <c r="AQ739" s="27"/>
      <c r="AR739" s="27" t="s">
        <v>305</v>
      </c>
      <c r="AS739" s="27"/>
      <c r="AT739" s="27">
        <f ca="1">IF(MONTH(I775)=1,1,0)</f>
        <v>0</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44927</v>
      </c>
      <c r="AK741" s="27">
        <f ca="1">ROUND((AJ741-AL732)/365.25,2)</f>
        <v>44.33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-11</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-1.8333333333333333E-2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-12</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
      <c r="G775" s="27"/>
      <c r="H775" s="27" t="s">
        <v>575</v>
      </c>
      <c r="I775" s="27">
        <f ca="1">TODAY()</f>
        <v>45280</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
      <c r="G887" s="27"/>
      <c r="H887" s="27"/>
      <c r="I887" s="27"/>
      <c r="J887" s="27"/>
      <c r="K887" s="27">
        <f ca="1">(F927-O710)*2.4%</f>
        <v>-0.30936000000000019</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
      <c r="G888" s="27"/>
      <c r="H888" s="27">
        <f ca="1">DATE(YEAR(I775),MONTH(I775)-MONTH(I775)+1,DAY(I775)-DAY(I775)+1)</f>
        <v>44927</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5" thickBot="1" x14ac:dyDescent="0.25">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6.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5.75"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5" thickBot="1" x14ac:dyDescent="0.3">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5" thickBot="1" x14ac:dyDescent="0.3">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7"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5" thickBot="1" x14ac:dyDescent="0.25">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6.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5.75" thickTop="1" x14ac:dyDescent="0.25">
      <c r="B906" s="84" t="e">
        <f>#REF!</f>
        <v>#REF!</v>
      </c>
      <c r="C906" s="85" t="s">
        <v>543</v>
      </c>
      <c r="D906" s="86" t="s">
        <v>59</v>
      </c>
      <c r="E906" s="87" t="e">
        <f>#REF!/#REF!*E911</f>
        <v>#REF!</v>
      </c>
      <c r="F906" s="88" t="s">
        <v>526</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ht="15"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5" thickBot="1" x14ac:dyDescent="0.25">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75" thickTop="1" thickBot="1" x14ac:dyDescent="0.25">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75" thickTop="1" thickBot="1" x14ac:dyDescent="0.25">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7.25" thickTop="1" thickBot="1" x14ac:dyDescent="0.3">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7.25" thickTop="1" thickBot="1" x14ac:dyDescent="0.3">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9.5" thickTop="1" thickBot="1" x14ac:dyDescent="0.3">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6.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ht="15"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5.75"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5.75"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5" thickBot="1" x14ac:dyDescent="0.25">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5.75" thickTop="1" x14ac:dyDescent="0.25">
      <c r="B919" s="77"/>
      <c r="C919" s="131" t="s">
        <v>559</v>
      </c>
      <c r="D919" s="108"/>
      <c r="E919" s="132"/>
      <c r="G919" s="27">
        <f ca="1">N738</f>
        <v>13.25</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75" x14ac:dyDescent="0.25">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5" thickBot="1" x14ac:dyDescent="0.3">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9.5" thickTop="1" thickBot="1" x14ac:dyDescent="0.3">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75" thickTop="1" thickBot="1" x14ac:dyDescent="0.25">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6.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5" thickTop="1" x14ac:dyDescent="0.2">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5" thickBot="1" x14ac:dyDescent="0.25">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75" thickTop="1" thickBot="1" x14ac:dyDescent="0.25">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6.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9.5" thickTop="1" thickBot="1" x14ac:dyDescent="0.3">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7.25" thickTop="1" thickBot="1" x14ac:dyDescent="0.3">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5" thickTop="1" x14ac:dyDescent="0.2">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5" thickBot="1" x14ac:dyDescent="0.25">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6.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5" thickTop="1" x14ac:dyDescent="0.2">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5" thickBot="1" x14ac:dyDescent="0.25">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6.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75" thickTop="1" thickBot="1" x14ac:dyDescent="0.25">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5" thickTop="1" x14ac:dyDescent="0.2">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5" thickBot="1" x14ac:dyDescent="0.25">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75" thickTop="1" thickBot="1" x14ac:dyDescent="0.25">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6.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5" thickTop="1" x14ac:dyDescent="0.2">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75" thickBot="1" x14ac:dyDescent="0.3">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6.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5" thickTop="1" x14ac:dyDescent="0.2">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75" x14ac:dyDescent="0.25">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B35:C35"/>
    <mergeCell ref="D16:E16"/>
    <mergeCell ref="D18:E18"/>
    <mergeCell ref="D19:E19"/>
    <mergeCell ref="D20:E20"/>
    <mergeCell ref="D21:E21"/>
    <mergeCell ref="D33:E33"/>
    <mergeCell ref="D15:E15"/>
    <mergeCell ref="D9:E9"/>
    <mergeCell ref="D11:E11"/>
    <mergeCell ref="D12:E12"/>
    <mergeCell ref="D13:E13"/>
    <mergeCell ref="D14:E14"/>
  </mergeCells>
  <conditionalFormatting sqref="Y724:Y725 Y728:Y731">
    <cfRule type="expression" dxfId="92" priority="94" stopIfTrue="1">
      <formula>AND(#REF!&lt;#REF!,#REF!&lt;#REF!)</formula>
    </cfRule>
  </conditionalFormatting>
  <conditionalFormatting sqref="E901 R779">
    <cfRule type="expression" dxfId="91" priority="93" stopIfTrue="1">
      <formula>$G$906&lt;&gt;0</formula>
    </cfRule>
  </conditionalFormatting>
  <conditionalFormatting sqref="BA784">
    <cfRule type="expression" dxfId="90" priority="92" stopIfTrue="1">
      <formula>$BB$784&lt;0</formula>
    </cfRule>
  </conditionalFormatting>
  <conditionalFormatting sqref="BA785">
    <cfRule type="expression" dxfId="89" priority="91" stopIfTrue="1">
      <formula>$BB$785&lt;0</formula>
    </cfRule>
  </conditionalFormatting>
  <conditionalFormatting sqref="E930:E945">
    <cfRule type="cellIs" dxfId="88" priority="90" stopIfTrue="1" operator="equal">
      <formula>0</formula>
    </cfRule>
  </conditionalFormatting>
  <conditionalFormatting sqref="L777 G956 F957">
    <cfRule type="expression" dxfId="87" priority="89" stopIfTrue="1">
      <formula>$E$110&gt;0</formula>
    </cfRule>
  </conditionalFormatting>
  <conditionalFormatting sqref="E968:E969">
    <cfRule type="expression" dxfId="86" priority="88" stopIfTrue="1">
      <formula>$E$969&lt;0</formula>
    </cfRule>
  </conditionalFormatting>
  <conditionalFormatting sqref="E972:E974 D974">
    <cfRule type="expression" dxfId="85" priority="87" stopIfTrue="1">
      <formula>$E$974&lt;=0</formula>
    </cfRule>
  </conditionalFormatting>
  <conditionalFormatting sqref="B906:E906 B910:E910">
    <cfRule type="expression" dxfId="84" priority="86" stopIfTrue="1">
      <formula>$W$742=$S$735</formula>
    </cfRule>
  </conditionalFormatting>
  <conditionalFormatting sqref="B912:E913">
    <cfRule type="expression" dxfId="83" priority="85" stopIfTrue="1">
      <formula>$E$913=0</formula>
    </cfRule>
  </conditionalFormatting>
  <conditionalFormatting sqref="C900:D900 T745:W745">
    <cfRule type="expression" dxfId="82" priority="84" stopIfTrue="1">
      <formula>$W$742=$S$735</formula>
    </cfRule>
  </conditionalFormatting>
  <conditionalFormatting sqref="C915:F916">
    <cfRule type="expression" dxfId="81" priority="83" stopIfTrue="1">
      <formula>$F$915=0</formula>
    </cfRule>
  </conditionalFormatting>
  <conditionalFormatting sqref="S834:S860 T746:W746 H878 G915">
    <cfRule type="expression" dxfId="80" priority="82" stopIfTrue="1">
      <formula>$V$745&lt;=0</formula>
    </cfRule>
  </conditionalFormatting>
  <conditionalFormatting sqref="H924:H925 H879 G916">
    <cfRule type="expression" dxfId="79" priority="81" stopIfTrue="1">
      <formula>$Z$717&lt;100%</formula>
    </cfRule>
  </conditionalFormatting>
  <conditionalFormatting sqref="K806">
    <cfRule type="expression" dxfId="78" priority="80" stopIfTrue="1">
      <formula>$BB$783=0</formula>
    </cfRule>
  </conditionalFormatting>
  <conditionalFormatting sqref="J881 I891 J879 I889 J877 H887:I887 H888 G925 F926">
    <cfRule type="expression" dxfId="77" priority="79"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76" priority="78" stopIfTrue="1">
      <formula>$R$718=1</formula>
    </cfRule>
  </conditionalFormatting>
  <conditionalFormatting sqref="K781">
    <cfRule type="expression" dxfId="75" priority="77" stopIfTrue="1">
      <formula>$L$781=0</formula>
    </cfRule>
  </conditionalFormatting>
  <conditionalFormatting sqref="S747">
    <cfRule type="expression" dxfId="74" priority="76" stopIfTrue="1">
      <formula>$T$747=0</formula>
    </cfRule>
  </conditionalFormatting>
  <conditionalFormatting sqref="T747 L785:L790 L792:L806 T720">
    <cfRule type="cellIs" dxfId="73" priority="75" stopIfTrue="1" operator="equal">
      <formula>0</formula>
    </cfRule>
  </conditionalFormatting>
  <conditionalFormatting sqref="K803">
    <cfRule type="expression" dxfId="72" priority="74" stopIfTrue="1">
      <formula>$W$719=0</formula>
    </cfRule>
  </conditionalFormatting>
  <conditionalFormatting sqref="K804">
    <cfRule type="expression" dxfId="71" priority="73" stopIfTrue="1">
      <formula>$W$739=0</formula>
    </cfRule>
  </conditionalFormatting>
  <conditionalFormatting sqref="K794">
    <cfRule type="expression" dxfId="70" priority="72" stopIfTrue="1">
      <formula>$BB$778=0</formula>
    </cfRule>
  </conditionalFormatting>
  <conditionalFormatting sqref="S720">
    <cfRule type="expression" dxfId="69" priority="71" stopIfTrue="1">
      <formula>#REF!=0</formula>
    </cfRule>
  </conditionalFormatting>
  <conditionalFormatting sqref="K793">
    <cfRule type="expression" dxfId="68" priority="70" stopIfTrue="1">
      <formula>$Y$714=0</formula>
    </cfRule>
  </conditionalFormatting>
  <conditionalFormatting sqref="K790">
    <cfRule type="expression" dxfId="67" priority="69" stopIfTrue="1">
      <formula>$BB$775=$S$709</formula>
    </cfRule>
  </conditionalFormatting>
  <conditionalFormatting sqref="K788">
    <cfRule type="expression" dxfId="66" priority="68" stopIfTrue="1">
      <formula>#REF!=0</formula>
    </cfRule>
  </conditionalFormatting>
  <conditionalFormatting sqref="K786">
    <cfRule type="expression" dxfId="65" priority="67" stopIfTrue="1">
      <formula>#REF!=0</formula>
    </cfRule>
  </conditionalFormatting>
  <conditionalFormatting sqref="K785">
    <cfRule type="expression" dxfId="64" priority="66" stopIfTrue="1">
      <formula>$S$705=0</formula>
    </cfRule>
  </conditionalFormatting>
  <conditionalFormatting sqref="K787">
    <cfRule type="expression" dxfId="63" priority="65" stopIfTrue="1">
      <formula>$S$706=0</formula>
    </cfRule>
  </conditionalFormatting>
  <conditionalFormatting sqref="K795:K802">
    <cfRule type="expression" dxfId="62" priority="64" stopIfTrue="1">
      <formula>$AW$722=0</formula>
    </cfRule>
  </conditionalFormatting>
  <conditionalFormatting sqref="H868:H870 G905 F906">
    <cfRule type="expression" dxfId="61" priority="63" stopIfTrue="1">
      <formula>$V$745&gt;0</formula>
    </cfRule>
  </conditionalFormatting>
  <conditionalFormatting sqref="F907">
    <cfRule type="expression" dxfId="60" priority="62" stopIfTrue="1">
      <formula>$BB$786=0</formula>
    </cfRule>
  </conditionalFormatting>
  <conditionalFormatting sqref="G906">
    <cfRule type="expression" dxfId="59" priority="61" stopIfTrue="1">
      <formula>$G$906=0</formula>
    </cfRule>
  </conditionalFormatting>
  <conditionalFormatting sqref="V756:Y756">
    <cfRule type="expression" dxfId="58" priority="60" stopIfTrue="1">
      <formula>#REF!=0</formula>
    </cfRule>
  </conditionalFormatting>
  <conditionalFormatting sqref="Y722">
    <cfRule type="expression" dxfId="57" priority="59" stopIfTrue="1">
      <formula>AND(#REF!&lt;#REF!,#REF!&lt;#REF!)</formula>
    </cfRule>
  </conditionalFormatting>
  <conditionalFormatting sqref="Y723">
    <cfRule type="expression" dxfId="56" priority="58" stopIfTrue="1">
      <formula>AND(#REF!&lt;#REF!,#REF!&lt;#REF!)</formula>
    </cfRule>
  </conditionalFormatting>
  <conditionalFormatting sqref="S757">
    <cfRule type="cellIs" dxfId="55" priority="57" stopIfTrue="1" operator="greaterThan">
      <formula>0</formula>
    </cfRule>
  </conditionalFormatting>
  <conditionalFormatting sqref="E904:F904">
    <cfRule type="expression" dxfId="54" priority="56" stopIfTrue="1">
      <formula>$F$904&lt;64</formula>
    </cfRule>
  </conditionalFormatting>
  <conditionalFormatting sqref="H876 G913 F914">
    <cfRule type="expression" dxfId="53" priority="55" stopIfTrue="1">
      <formula>$W$742=$S$735</formula>
    </cfRule>
  </conditionalFormatting>
  <conditionalFormatting sqref="G911 F912">
    <cfRule type="expression" dxfId="52" priority="54" stopIfTrue="1">
      <formula>$W$742=$S$735</formula>
    </cfRule>
  </conditionalFormatting>
  <conditionalFormatting sqref="G901 E902:F902">
    <cfRule type="expression" dxfId="51" priority="53" stopIfTrue="1">
      <formula>$W$742=$S$735</formula>
    </cfRule>
  </conditionalFormatting>
  <conditionalFormatting sqref="G909 F910">
    <cfRule type="expression" dxfId="50" priority="52" stopIfTrue="1">
      <formula>$W$742=$S$735</formula>
    </cfRule>
  </conditionalFormatting>
  <conditionalFormatting sqref="K792">
    <cfRule type="expression" dxfId="49" priority="51" stopIfTrue="1">
      <formula>$BB$776=0</formula>
    </cfRule>
  </conditionalFormatting>
  <conditionalFormatting sqref="K789">
    <cfRule type="expression" dxfId="48" priority="50" stopIfTrue="1">
      <formula>$BB$774=0</formula>
    </cfRule>
  </conditionalFormatting>
  <conditionalFormatting sqref="C919:E920">
    <cfRule type="expression" dxfId="47" priority="49" stopIfTrue="1">
      <formula>$E$913=0</formula>
    </cfRule>
  </conditionalFormatting>
  <conditionalFormatting sqref="B917:F918">
    <cfRule type="expression" dxfId="46" priority="47" stopIfTrue="1">
      <formula>#REF!=0</formula>
    </cfRule>
    <cfRule type="expression" dxfId="45" priority="48" stopIfTrue="1">
      <formula>#REF!=0</formula>
    </cfRule>
  </conditionalFormatting>
  <conditionalFormatting sqref="E903:F903 F958:F959">
    <cfRule type="expression" dxfId="44" priority="46" stopIfTrue="1">
      <formula>$F$905&gt;67</formula>
    </cfRule>
  </conditionalFormatting>
  <conditionalFormatting sqref="N754 X824:Y825 X821:X823 X826:X827 X810:Y820 Z810:Z827 H779:H791 H797 I29:I31">
    <cfRule type="expression" dxfId="43" priority="45" stopIfTrue="1">
      <formula>$C$59=0</formula>
    </cfRule>
  </conditionalFormatting>
  <conditionalFormatting sqref="V732">
    <cfRule type="expression" dxfId="42" priority="44" stopIfTrue="1">
      <formula>$AF$707=AC754</formula>
    </cfRule>
  </conditionalFormatting>
  <conditionalFormatting sqref="C905">
    <cfRule type="expression" dxfId="41" priority="43" stopIfTrue="1">
      <formula>$AF$707=AC754</formula>
    </cfRule>
  </conditionalFormatting>
  <conditionalFormatting sqref="D905">
    <cfRule type="expression" dxfId="40" priority="42" stopIfTrue="1">
      <formula>$AF$707=AC754</formula>
    </cfRule>
  </conditionalFormatting>
  <conditionalFormatting sqref="E905 B905">
    <cfRule type="expression" dxfId="39" priority="41" stopIfTrue="1">
      <formula>$AF$707=Z754</formula>
    </cfRule>
  </conditionalFormatting>
  <conditionalFormatting sqref="G904">
    <cfRule type="expression" dxfId="38" priority="40" stopIfTrue="1">
      <formula>$AF$707=AC754</formula>
    </cfRule>
  </conditionalFormatting>
  <conditionalFormatting sqref="F905">
    <cfRule type="expression" dxfId="37" priority="39" stopIfTrue="1">
      <formula>$AF$707=AC754</formula>
    </cfRule>
  </conditionalFormatting>
  <conditionalFormatting sqref="H867">
    <cfRule type="expression" dxfId="36" priority="38" stopIfTrue="1">
      <formula>$AF$707=AC754</formula>
    </cfRule>
  </conditionalFormatting>
  <conditionalFormatting sqref="B2">
    <cfRule type="expression" dxfId="35" priority="37" stopIfTrue="1">
      <formula>$AB$17=AE44</formula>
    </cfRule>
  </conditionalFormatting>
  <conditionalFormatting sqref="Z810:Z827 H779:H796">
    <cfRule type="expression" dxfId="34" priority="36" stopIfTrue="1">
      <formula>$C$54=1</formula>
    </cfRule>
  </conditionalFormatting>
  <conditionalFormatting sqref="H778">
    <cfRule type="expression" dxfId="33" priority="34" stopIfTrue="1">
      <formula>$C$59=1</formula>
    </cfRule>
    <cfRule type="expression" dxfId="32" priority="35" stopIfTrue="1">
      <formula>$C$59=0</formula>
    </cfRule>
  </conditionalFormatting>
  <conditionalFormatting sqref="H792:H796">
    <cfRule type="expression" dxfId="31" priority="33" stopIfTrue="1">
      <formula>$C$58=0</formula>
    </cfRule>
  </conditionalFormatting>
  <conditionalFormatting sqref="H873 G910 F911">
    <cfRule type="expression" dxfId="30" priority="32" stopIfTrue="1">
      <formula>$E$110&lt;&gt;0</formula>
    </cfRule>
  </conditionalFormatting>
  <conditionalFormatting sqref="I34 I26:I32 H24 H23:I23 J21:J26 H21:H22 H26:H30">
    <cfRule type="expression" dxfId="29" priority="31" stopIfTrue="1">
      <formula>$C$39=0</formula>
    </cfRule>
  </conditionalFormatting>
  <conditionalFormatting sqref="H871">
    <cfRule type="expression" dxfId="28" priority="30" stopIfTrue="1">
      <formula>ROUND($H$871,2)=ROUND($G$908,2)</formula>
    </cfRule>
  </conditionalFormatting>
  <conditionalFormatting sqref="I206:J206 L205:L223 I207:I223">
    <cfRule type="expression" dxfId="27" priority="28" stopIfTrue="1">
      <formula>$Q$2=$M168</formula>
    </cfRule>
    <cfRule type="expression" dxfId="26" priority="29" stopIfTrue="1">
      <formula>$C$39=0</formula>
    </cfRule>
  </conditionalFormatting>
  <conditionalFormatting sqref="J126:K135 K118:K125">
    <cfRule type="expression" dxfId="25" priority="25" stopIfTrue="1">
      <formula>$CC$12&lt;&gt;$C$5</formula>
    </cfRule>
    <cfRule type="expression" dxfId="24" priority="26" stopIfTrue="1">
      <formula>$Q$2=$M81</formula>
    </cfRule>
    <cfRule type="expression" dxfId="23" priority="27" stopIfTrue="1">
      <formula>$C$39=0</formula>
    </cfRule>
  </conditionalFormatting>
  <conditionalFormatting sqref="M80:N98 M168:M186">
    <cfRule type="expression" dxfId="22" priority="23" stopIfTrue="1">
      <formula>$Q$2=$M80</formula>
    </cfRule>
    <cfRule type="expression" dxfId="21" priority="24" stopIfTrue="1">
      <formula>$C$39=0</formula>
    </cfRule>
  </conditionalFormatting>
  <conditionalFormatting sqref="Q61:AC106 S60:AC60">
    <cfRule type="expression" dxfId="20" priority="21" stopIfTrue="1">
      <formula>$Q$2=$M94</formula>
    </cfRule>
    <cfRule type="expression" dxfId="19" priority="22" stopIfTrue="1">
      <formula>$C$39=0</formula>
    </cfRule>
  </conditionalFormatting>
  <conditionalFormatting sqref="F24">
    <cfRule type="expression" dxfId="18" priority="19" stopIfTrue="1">
      <formula>$C$39=0</formula>
    </cfRule>
  </conditionalFormatting>
  <conditionalFormatting sqref="F28">
    <cfRule type="expression" dxfId="17" priority="18" stopIfTrue="1">
      <formula>$C$39=0</formula>
    </cfRule>
  </conditionalFormatting>
  <conditionalFormatting sqref="F30">
    <cfRule type="expression" dxfId="16" priority="17" stopIfTrue="1">
      <formula>$C$39=0</formula>
    </cfRule>
  </conditionalFormatting>
  <conditionalFormatting sqref="F33">
    <cfRule type="expression" dxfId="15" priority="16" stopIfTrue="1">
      <formula>$C$39=0</formula>
    </cfRule>
  </conditionalFormatting>
  <conditionalFormatting sqref="C23:E23 C24:F24 B25:F26">
    <cfRule type="expression" dxfId="14" priority="15" stopIfTrue="1">
      <formula>$C$19=$F$19</formula>
    </cfRule>
  </conditionalFormatting>
  <conditionalFormatting sqref="B27:F33">
    <cfRule type="expression" dxfId="13" priority="14" stopIfTrue="1">
      <formula>$C$19=$F$18</formula>
    </cfRule>
  </conditionalFormatting>
  <conditionalFormatting sqref="AO705:AP714">
    <cfRule type="expression" dxfId="12" priority="12" stopIfTrue="1">
      <formula>$L$776=$AO705</formula>
    </cfRule>
    <cfRule type="expression" dxfId="11" priority="13" stopIfTrue="1">
      <formula>$I$29=0</formula>
    </cfRule>
  </conditionalFormatting>
  <conditionalFormatting sqref="S27:S34">
    <cfRule type="expression" dxfId="10" priority="11" stopIfTrue="1">
      <formula>$C$39=0</formula>
    </cfRule>
  </conditionalFormatting>
  <conditionalFormatting sqref="B35:C35">
    <cfRule type="expression" dxfId="9" priority="10" stopIfTrue="1">
      <formula>$C$19=$F$18</formula>
    </cfRule>
  </conditionalFormatting>
  <conditionalFormatting sqref="J21:J26 S27:S34">
    <cfRule type="expression" dxfId="8" priority="9" stopIfTrue="1">
      <formula>$C$9=1</formula>
    </cfRule>
  </conditionalFormatting>
  <conditionalFormatting sqref="C24:E24 C28:E28">
    <cfRule type="expression" dxfId="7" priority="6" stopIfTrue="1">
      <formula>$C$10="חטיבת ביניים"</formula>
    </cfRule>
    <cfRule type="expression" dxfId="6" priority="7" stopIfTrue="1">
      <formula>$C$10="ז-ח"</formula>
    </cfRule>
    <cfRule type="expression" dxfId="5" priority="8" stopIfTrue="1">
      <formula>$C$10="א-ו"</formula>
    </cfRule>
  </conditionalFormatting>
  <conditionalFormatting sqref="G25:H25">
    <cfRule type="expression" dxfId="4" priority="5" stopIfTrue="1">
      <formula>$C$39=0</formula>
    </cfRule>
  </conditionalFormatting>
  <conditionalFormatting sqref="J31:J32 J27:J29">
    <cfRule type="expression" dxfId="3" priority="4" stopIfTrue="1">
      <formula>$C$39=0</formula>
    </cfRule>
  </conditionalFormatting>
  <conditionalFormatting sqref="J30">
    <cfRule type="expression" dxfId="2" priority="3" stopIfTrue="1">
      <formula>$C$39=0</formula>
    </cfRule>
  </conditionalFormatting>
  <conditionalFormatting sqref="J30 J27:J28">
    <cfRule type="expression" dxfId="1" priority="2" stopIfTrue="1">
      <formula>$C$9=1</formula>
    </cfRule>
  </conditionalFormatting>
  <conditionalFormatting sqref="J29">
    <cfRule type="expression" dxfId="0" priority="1" stopIfTrue="1">
      <formula>$C$59=0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FB751709-4708-44DB-AE72-0273ED48C326}">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3B5A12DC-2CF8-49E3-8078-D531C49E3C19}">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DBDF1BA2-6761-4D2A-B9C1-436D72CC1668}">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3E78653F-CF08-4440-8855-CA1EEE20C84E}">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4780EA0E-7B99-465C-B3DD-34961427B4C1}">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0AEA7948-DABB-4B48-B962-8BAC12918C01}">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7A999C6B-0D67-416F-938F-6CEB2DE98CE1}">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59004811-F0C9-418C-A579-543637A8418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6621019C-1FF5-4443-A495-B226E326CDBF}">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8122D8F6-E358-4A43-8EDD-675F1C2EBAEB}">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223061BB-BAC4-4393-969A-608725B66709}">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F2341902-12EC-4CE5-9E31-C9DAA64BE848}">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295FB90D-10D2-42DC-BC99-19F433D995BD}">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2330FB32-0FBD-4956-A46D-E4ADCB103288}">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D6A54B97-B688-4B95-B6F6-A59F01198FCE}">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68BD109-CC76-45B6-B611-F2F7E78CC69E}">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6C1510B0-2449-4923-A71F-B6B216D86AAB}">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5C71C95B-31D6-48E9-BF85-0629BD31312B}">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DCE79C7A-B5A9-4E80-8DD4-E22D321216F6}">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EBEC11A2-416B-4FA3-8C54-22A82BEB6CE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90B82C9C-E433-4579-A56B-2BADBDFA01BE}">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055F53F4-5CE1-4F78-B0ED-1ED8344F0992}">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E7592EF5-99CD-4ED7-A036-66BBFAB6BF5F}">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F3EB4E89-EDD0-44D0-AE97-E059CA5D5FFE}">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34AD3281-453B-4029-ABB4-53C1B1ED2246}">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2E697CC9-866B-4B23-B7B2-23CDC9C5FDC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D0FF3E41-13AE-442A-9A99-D7BE0861859E}">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648C5ED-2A1B-48BC-8051-76DF94FEED0E}">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1BB6B6C9-D18D-408E-99B4-7B36A4186537}">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0D230A09-BD8D-4F88-9D3A-D8A9E8F35B86}">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8E93B259-90C1-40B1-8CF3-D058ACC67510}">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DC5CC9C1-AF15-482C-91AD-CD6BE8F23C1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259E6B8B-BAA8-43F5-97CF-75A2BFBF571E}">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7160892-24B4-4C0D-AA9B-1477A252E77B}">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F9E520C4-E2B3-488D-A439-032230B5D22A}">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A78E23F3-0684-4D1F-A56A-7D1454A9645F}">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8C7D6B06-A7B6-4EEB-8AB5-9589421D9060}">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A6628D12-47E4-40BA-8140-50247419DB20}">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4F26DA0F-928B-42E4-8033-35AC6C7C41CD}">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30612106-E811-472C-B280-5AF4C9D2F00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8E63B912-BC92-440B-86C9-171846460CE3}">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9EA6BC8A-EDAC-4246-AAF7-92515EDD0C80}">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0C0267C3-617D-4A4C-9C14-5C747EA088E3}">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7221950B-49D3-4AA5-8E2D-57D508FFBD29}">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FAD235A8-ED01-49E2-97E9-586E7291AC87}">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583DC321-107F-4287-935E-D1BA921FB539}">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571EDC89-EA86-447B-8CAC-5987BE2AD086}">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C0B543F8-F942-4B39-ADD1-866532F25C3D}"/>
  </dataValidations>
  <hyperlinks>
    <hyperlink ref="W745" location="'עובדי הוראה'!H528" display="'עובדי הוראה'!H528" xr:uid="{28B9B022-41D4-46FC-8961-84192DE17AB1}"/>
    <hyperlink ref="V746" location="'עובדי הוראה'!I381" display="'עובדי הוראה'!I381" xr:uid="{3E09DE47-D314-4208-B2FD-C7CB01D9CE05}"/>
    <hyperlink ref="Y721" r:id="rId1" display="אתר לעדכון גרסה " xr:uid="{2E4361F5-20B6-41E1-9360-A6C1E18138A1}"/>
    <hyperlink ref="U757" location="'כלל המגזר צבורי'!B1" display="'כלל המגזר צבורי'!B1" xr:uid="{71F83E24-FBE7-4B57-A1BF-57B521FF69E2}"/>
    <hyperlink ref="R770" location="'רשות המיסים'!B56" display="'רשות המיסים'!B56" xr:uid="{158495BB-A976-4F78-85BB-8E867CF9F568}"/>
    <hyperlink ref="R770:S770" location="'מורים אופק חדש'!B65" display="'מורים אופק חדש'!B65" xr:uid="{121CE5E5-F6D2-40DC-BF29-006F33BB4012}"/>
    <hyperlink ref="R770:U770" location="'עובדי הוראה אופק חדש'!B65" display="'עובדי הוראה אופק חדש'!B65" xr:uid="{3E84BAAE-282F-4EA0-9C7F-D175A9A7822A}"/>
    <hyperlink ref="E899" location="'מורים אופק חדש'!B1" display="כל  תוצאה  המתקבלת בסימולטור ובטבלאות השונות הינה באחריות המשתמש בלבד !!!" xr:uid="{6DA62BA3-0C1F-41B4-81D5-ABF631A3546B}"/>
    <hyperlink ref="F920" location="'מורים אופק חדש'!B40" display="'מורים אופק חדש'!B40" xr:uid="{D8E8EAEC-8709-4E12-9FE9-6ACBAD31E40B}"/>
    <hyperlink ref="P707" location="'מורים אופק חדש'!B466" display="'מורים אופק חדש'!B466" xr:uid="{D3589262-ADF9-4922-95EF-8E8EDE666025}"/>
    <hyperlink ref="O707" location="'מורים אופק חדש'!H528" display="'מורים אופק חדש'!H528" xr:uid="{1EE5790B-3364-4009-AC86-9281E6FEC42C}"/>
    <hyperlink ref="B926" location="'מורים אופק חדש'!B40" display="'מורים אופק חדש'!B40" xr:uid="{FA073793-7706-4BD4-8C4E-ACC272E99937}"/>
    <hyperlink ref="G947" location="'מורים אופק חדש'!B40" display="'מורים אופק חדש'!B40" xr:uid="{E75FE354-D7A2-48A0-9D05-6F14C2E52B2C}"/>
    <hyperlink ref="E977" location="'מורים אופק חדש'!B40" display="'מורים אופק חדש'!B40" xr:uid="{6B5AD4BF-6181-49BC-8A0F-AF344DE1617D}"/>
    <hyperlink ref="C900" location="'מורים אופק חדש'!H331" display="'מורים אופק חדש'!H331" xr:uid="{955457DC-7F0F-44BD-92E9-E8C937FE325E}"/>
    <hyperlink ref="R770:T770" location="'מורים אופק חדש'!B65" display="'מורים אופק חדש'!B65" xr:uid="{1AADAB87-3B00-47EC-A35A-42864D06C53A}"/>
    <hyperlink ref="C915:F916" r:id="rId2" display="בעת מילוי טופס 161א בקש פטור מס מוגדל   למענק  החייב,  בסך  :" xr:uid="{26E29CD4-3F57-4E06-B6A7-BEC987F96630}"/>
    <hyperlink ref="C919:E919" r:id="rId3" display="אם ברצונך בפריסת מס עליך להגיש בקשה בטופס  116ג" xr:uid="{D48808EE-0B75-4C1B-BA79-F2F58F962ADB}"/>
    <hyperlink ref="B948" location="'מורים אופק חדש'!B40" display="'מורים אופק חדש'!B40" xr:uid="{83FE959F-7E9E-43D0-A230-C5F2EB218FBB}"/>
    <hyperlink ref="H776" r:id="rId4" display="האימייל שלי " xr:uid="{8BDE1E0E-5370-4AD6-AA17-115812508C0E}"/>
    <hyperlink ref="I776" r:id="rId5" xr:uid="{53B7DE9A-E0CF-4284-82F0-0B7C3D5B3CD7}"/>
    <hyperlink ref="AB35" location="'עובדי הוראה'!H528" display="'עובדי הוראה'!H528" xr:uid="{41F29D61-C112-4B06-91A9-B388326862B3}"/>
    <hyperlink ref="AA36" location="'עובדי הוראה'!I381" display="'עובדי הוראה'!I381" xr:uid="{B48D2569-A7BB-4293-A387-F66E4135A7C1}"/>
    <hyperlink ref="AD18" r:id="rId6" display="אתר לעדכון גרסה " xr:uid="{4CC2D63B-2B99-4478-9A51-C81D98B869FF}"/>
    <hyperlink ref="Z47" location="'כלל המגזר צבורי'!B1" display="'כלל המגזר צבורי'!B1" xr:uid="{6551E5BB-3993-4E04-83C3-F754FBB15F17}"/>
    <hyperlink ref="W60" location="'רשות המיסים'!B56" display="'רשות המיסים'!B56" xr:uid="{B3176453-D44A-409F-93BE-284C0A73A3EB}"/>
    <hyperlink ref="W60:X60" location="'מורים אופק חדש'!B65" display="'מורים אופק חדש'!B65" xr:uid="{E34B08D1-F278-4BF8-86D7-4BCD2C9985D7}"/>
    <hyperlink ref="W60:Z60" location="'עובדי הוראה אופק חדש'!B65" display="'עובדי הוראה אופק חדש'!B65" xr:uid="{E68EFC63-C72F-4B6E-9E28-0DF9A7AB9FDE}"/>
    <hyperlink ref="G195" location="'מורים אופק חדש'!B40" display="'מורים אופק חדש'!B40" xr:uid="{64E263FC-3799-4609-8CD0-85D731E8D26D}"/>
    <hyperlink ref="U4" location="'מורים אופק חדש'!B466" display="'מורים אופק חדש'!B466" xr:uid="{3C75E194-B327-4F81-924D-7A7AA581B9C5}"/>
    <hyperlink ref="T4" location="'מורים אופק חדש'!H528" display="'מורים אופק חדש'!H528" xr:uid="{E8F4C92E-CEFF-4A53-8DF8-DBCCDAAF75D9}"/>
    <hyperlink ref="B214" location="'מורים אופק חדש'!B40" display="'מורים אופק חדש'!B40" xr:uid="{9254E87E-4A35-4D4F-A3D7-6E8715F0AEB5}"/>
    <hyperlink ref="C184" location="'מורים אופק חדש'!H331" display="'מורים אופק חדש'!H331" xr:uid="{C75A08F3-041C-4EEC-9921-337DEABAB46B}"/>
    <hyperlink ref="W60:Y60" location="'מורים אופק חדש'!B65" display="'מורים אופק חדש'!B65" xr:uid="{D6CC45CD-AD9B-4883-86CF-D15D5C5D9F5F}"/>
    <hyperlink ref="C190:G191" r:id="rId7" display="בעת מילוי טופס 161א בקש פטור מס מוגדל   למענק  החייב,  בסך  :" xr:uid="{F07195F1-0DBA-4C72-8BB2-D3E9B208DD89}"/>
    <hyperlink ref="C195:F195" r:id="rId8" display="אם ברצונך בפריסת מס עליך להגיש בקשה בטופס  116ג" xr:uid="{88112AC0-ED11-4A65-8AC4-A9347F58197E}"/>
    <hyperlink ref="H849" location="'כלל המגזר צבורי'!H262" display="'כלל המגזר צבורי'!H262" xr:uid="{4296EAD6-2180-437C-BA31-97C85C9DEAFA}"/>
    <hyperlink ref="H851" location="'מה חדש'!A51" display="'מה חדש'!A51" xr:uid="{D488E1EC-39DD-4B8A-9D42-7284DB7AECE2}"/>
    <hyperlink ref="H850" location="'כלל המגזר צבורי'!I103" display="'כלל המגזר צבורי'!I103" xr:uid="{B111646D-CC20-45D0-82DA-DBBFA91A801B}"/>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2023-09-05T13:48:47Z</cp:lastPrinted>
  <dcterms:created xsi:type="dcterms:W3CDTF">2023-09-05T11:53:22Z</dcterms:created>
  <dcterms:modified xsi:type="dcterms:W3CDTF">2023-12-20T11:46:42Z</dcterms:modified>
</cp:coreProperties>
</file>