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E:\USER1\Downloads\"/>
    </mc:Choice>
  </mc:AlternateContent>
  <xr:revisionPtr revIDLastSave="0" documentId="13_ncr:1_{97D65A45-A844-4610-B038-1A52DA3A1476}" xr6:coauthVersionLast="47" xr6:coauthVersionMax="47" xr10:uidLastSave="{00000000-0000-0000-0000-000000000000}"/>
  <bookViews>
    <workbookView xWindow="-120" yWindow="-120" windowWidth="29040" windowHeight="15840" activeTab="2"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N25" i="3" l="1"/>
  <c r="K77" i="3"/>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<sst xmlns="http://schemas.openxmlformats.org/spreadsheetml/2006/main" count="2765" uniqueCount="613">
  <si>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</si>
  <si>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</si>
  <si>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</si>
  <si>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</si>
  <si>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</si>
  <si>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</si>
  <si>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</si>
  <si>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</si>
  <si>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</si>
  <si>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</si>
  <si>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</si>
  <si>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</si>
  <si>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</si>
  <si>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</si>
  <si>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</si>
  <si>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</si>
  <si>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</si>
  <si>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</si>
  <si>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</si>
  <si>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</si>
  <si>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</si>
  <si>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</si>
  <si>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</si>
  <si>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</si>
  <si>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</si>
  <si>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</si>
  <si>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</si>
  <si>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</si>
  <si>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</si>
  <si>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</si>
  <si>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</si>
  <si>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</si>
  <si>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</si>
  <si>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</si>
  <si>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</si>
  <si>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</si>
  <si>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</si>
  <si>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</si>
  <si>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</si>
  <si>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</si>
  <si>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</si>
  <si>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</si>
  <si>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</si>
  <si>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</si>
  <si>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</si>
  <si>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</si>
  <si>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</si>
  <si>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</si>
  <si>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</si>
  <si>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</si>
  <si>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</si>
  <si>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</si>
  <si>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</si>
  <si>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</si>
  <si>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</si>
  <si>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</si>
  <si>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</si>
  <si>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</si>
  <si>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</si>
  <si>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</si>
  <si>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</si>
  <si>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</si>
  <si>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</si>
  <si>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</si>
  <si>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</si>
  <si>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</si>
  <si>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</si>
  <si>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</si>
  <si>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</si>
  <si>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</si>
  <si>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</si>
  <si>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</si>
  <si>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</si>
  <si>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</si>
  <si>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</si>
  <si>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</si>
  <si>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</si>
  <si>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</si>
  <si>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</si>
  <si>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</si>
  <si>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</si>
  <si>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</si>
  <si>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</si>
  <si>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</si>
  <si>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</si>
  <si>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</si>
  <si>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</si>
  <si>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</si>
  <si>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</si>
  <si>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</si>
  <si>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</si>
  <si>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</si>
  <si>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</si>
  <si>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</si>
  <si>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</si>
  <si>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</si>
  <si>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</si>
  <si>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</si>
  <si>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</si>
  <si>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</si>
  <si>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</si>
  <si>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</si>
  <si>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</si>
  <si>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</si>
  <si>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</si>
  <si>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</si>
  <si>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</si>
  <si>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</si>
  <si>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</si>
  <si>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</si>
  <si>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</si>
  <si>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</si>
  <si>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</si>
  <si>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</si>
  <si>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</si>
  <si>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</si>
  <si>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</si>
  <si>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</si>
  <si>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</si>
  <si>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</si>
  <si>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</si>
  <si>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</si>
  <si>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</si>
  <si>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</si>
  <si>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</si>
  <si>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</si>
  <si>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</si>
  <si>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</si>
  <si>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</si>
  <si>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</si>
  <si>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</si>
  <si>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</si>
  <si>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</si>
  <si>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</si>
  <si>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</si>
  <si>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</si>
  <si>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</si>
  <si>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</si>
  <si>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</si>
  <si>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</si>
  <si>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</si>
  <si>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</si>
  <si>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</si>
  <si>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</si>
  <si>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</si>
  <si>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</si>
  <si>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</si>
  <si>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</si>
  <si>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</si>
  <si>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</si>
  <si>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</si>
  <si>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</si>
  <si>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</si>
  <si>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</si>
  <si>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</si>
  <si>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</si>
  <si>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</si>
  <si>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</si>
  <si>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</si>
  <si>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</si>
  <si>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</si>
  <si>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</si>
  <si>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</si>
  <si>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</si>
  <si>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</si>
  <si>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</si>
  <si>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</si>
  <si>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</si>
  <si>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</si>
  <si>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</si>
  <si>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</si>
  <si>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</si>
  <si>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</si>
  <si>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</si>
  <si>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</si>
  <si>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</si>
  <si>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</si>
  <si>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</si>
  <si>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</si>
  <si>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</si>
  <si>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</si>
  <si>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</si>
  <si>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</si>
  <si>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</si>
  <si>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</si>
  <si>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</si>
  <si>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</si>
  <si>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</si>
  <si>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</si>
  <si>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</si>
  <si>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</si>
  <si>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</si>
  <si>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</si>
  <si>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</si>
  <si>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</si>
  <si>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</si>
  <si>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</si>
  <si>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</si>
  <si>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</si>
  <si>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</si>
  <si>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</si>
  <si>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</si>
  <si>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</si>
  <si>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</si>
  <si>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</si>
  <si>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</si>
  <si>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</si>
  <si>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</si>
  <si>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</si>
  <si>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</si>
  <si>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</si>
  <si>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</si>
  <si>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</si>
  <si>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</si>
  <si>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</si>
  <si>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</si>
  <si>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</si>
  <si>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</si>
  <si>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</si>
  <si>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</si>
  <si>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</si>
  <si>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</si>
  <si>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</si>
  <si>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</si>
  <si>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</si>
  <si>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</si>
  <si>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</si>
  <si>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</si>
  <si>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</si>
  <si>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</si>
  <si>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</si>
  <si>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</si>
  <si>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</si>
  <si>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</si>
  <si>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</si>
  <si>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</si>
  <si>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</si>
  <si>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</si>
  <si>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</si>
  <si>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</si>
  <si>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</si>
  <si>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</si>
  <si>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</si>
  <si>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</si>
  <si>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</si>
  <si>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</si>
  <si>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</si>
  <si>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</si>
  <si>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</si>
  <si>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</si>
  <si>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</si>
  <si>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</si>
  <si>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</si>
  <si>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</si>
  <si>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</si>
  <si>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</si>
  <si>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</si>
  <si>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</si>
  <si>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</si>
  <si>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</si>
  <si>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</si>
  <si>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</si>
  <si>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</si>
  <si>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</si>
  <si>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</si>
  <si>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</si>
  <si>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</si>
  <si>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</si>
  <si>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</si>
  <si>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</si>
  <si>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</si>
  <si>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</si>
  <si>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</si>
  <si>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</si>
  <si>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</si>
  <si>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</si>
  <si>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</si>
  <si>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</si>
  <si>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</si>
  <si>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</si>
  <si>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</si>
  <si>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</si>
  <si>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</si>
  <si>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</si>
  <si>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</si>
  <si>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</si>
  <si>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</si>
  <si>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</si>
  <si>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</si>
  <si>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</si>
  <si>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</si>
  <si>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</si>
  <si>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</si>
  <si>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</si>
  <si>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</si>
  <si>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</si>
  <si>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</si>
  <si>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</si>
  <si>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</si>
  <si>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</si>
  <si>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</si>
  <si>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</si>
  <si>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</si>
  <si>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</si>
  <si>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</si>
  <si>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</si>
  <si>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</si>
  <si>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</si>
  <si>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</si>
  <si>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</si>
  <si>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</si>
  <si>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</si>
  <si>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</si>
  <si>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</si>
  <si>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</si>
  <si>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</si>
  <si>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</si>
  <si>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</si>
  <si>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</si>
  <si>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</si>
  <si>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</si>
  <si>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</si>
  <si>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</si>
  <si>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</si>
  <si>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</si>
  <si>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</si>
  <si>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</si>
  <si>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</si>
  <si>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</si>
  <si>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</si>
  <si>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</si>
  <si>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</si>
  <si>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</si>
  <si>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</si>
  <si>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</si>
  <si>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</si>
  <si>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</si>
  <si>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</si>
  <si>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</si>
  <si>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</si>
  <si>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</si>
  <si>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</si>
  <si>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</si>
  <si>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</si>
  <si>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</si>
  <si>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</si>
  <si>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</si>
  <si>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</si>
  <si>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</si>
  <si>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</si>
  <si>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</si>
  <si>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</si>
  <si>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</si>
  <si>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</si>
  <si>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</si>
  <si>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</si>
  <si>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</si>
  <si>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</si>
  <si>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</si>
  <si>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</si>
  <si>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</si>
  <si>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</si>
  <si>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</si>
  <si>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</si>
  <si>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</si>
  <si>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</si>
  <si>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</si>
  <si>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</si>
  <si>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</si>
  <si>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</si>
  <si>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</si>
  <si>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</si>
  <si>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</si>
  <si>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</si>
  <si>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</si>
  <si>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</si>
  <si>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</si>
  <si>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</si>
  <si>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</si>
  <si>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</si>
  <si>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</si>
  <si>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</si>
  <si>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</si>
  <si>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</si>
  <si>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</si>
  <si>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</si>
  <si>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</si>
  <si>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</si>
  <si>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</si>
  <si>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</si>
  <si>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</si>
  <si>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</si>
  <si>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</si>
  <si>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</si>
  <si>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</si>
  <si>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</si>
  <si>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</si>
  <si>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</si>
  <si>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</si>
  <si>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</si>
  <si>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</si>
  <si>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</si>
  <si>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</si>
  <si>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</si>
  <si>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</si>
  <si>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</si>
  <si>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</si>
  <si>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</si>
  <si>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</si>
  <si>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</si>
  <si>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</si>
  <si>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</si>
  <si>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</si>
  <si>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</si>
  <si>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</si>
  <si>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</si>
  <si>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</si>
  <si>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</si>
  <si>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</si>
  <si>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</si>
  <si>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</si>
  <si>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</si>
  <si>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</si>
  <si>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</si>
  <si>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</si>
  <si>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</si>
  <si>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</si>
  <si>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</si>
  <si>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</si>
  <si>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</si>
  <si>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</si>
  <si>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</si>
  <si>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</si>
  <si>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</si>
  <si>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</si>
  <si>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</si>
  <si>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</si>
  <si>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</si>
  <si>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</si>
  <si>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</si>
  <si>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</si>
  <si>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</si>
  <si>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</si>
  <si>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</si>
  <si>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</si>
  <si>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</si>
  <si>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</si>
  <si>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</si>
  <si>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</si>
  <si>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</si>
  <si>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</si>
  <si>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</si>
  <si>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</si>
  <si>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</si>
  <si>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</si>
  <si>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</si>
  <si>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</si>
  <si>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</si>
  <si>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</si>
  <si>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</si>
  <si>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</si>
  <si>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</si>
  <si>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</si>
  <si>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</si>
  <si>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</si>
  <si>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</si>
  <si>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</si>
  <si>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</si>
  <si>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</si>
  <si>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</si>
  <si>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</si>
  <si>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</si>
  <si>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</si>
  <si>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</si>
  <si>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</si>
  <si>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</si>
  <si>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</si>
  <si>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</si>
  <si>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</si>
  <si>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</si>
  <si>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</si>
  <si>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</si>
  <si>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</si>
  <si>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</si>
  <si>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</si>
  <si>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</si>
  <si>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</si>
  <si>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</si>
  <si>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</si>
  <si>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</si>
  <si>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</si>
  <si>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</si>
  <si>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</si>
  <si>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</si>
  <si>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</si>
  <si>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</si>
  <si>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</si>
  <si>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</si>
  <si>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</si>
  <si>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</si>
  <si>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</si>
  <si>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</si>
  <si>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</si>
  <si>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</si>
  <si>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</si>
  <si>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</si>
  <si>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</si>
  <si>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</si>
  <si>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</si>
  <si>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</si>
  <si>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</si>
  <si>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</si>
  <si>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</si>
  <si>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</si>
  <si>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</si>
  <si>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</si>
  <si>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</si>
  <si>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</si>
  <si>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</si>
  <si>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</si>
  <si>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</si>
  <si>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</si>
  <si>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</si>
  <si>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</si>
  <si>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</si>
  <si>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</si>
  <si>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</si>
  <si>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</si>
  <si>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</si>
  <si>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</si>
  <si>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</si>
  <si>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</si>
  <si>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</si>
  <si>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</si>
  <si>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</si>
  <si>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</si>
  <si>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</si>
  <si>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</si>
  <si>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</si>
  <si>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</si>
  <si>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</si>
  <si>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</si>
  <si>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</si>
  <si>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</si>
  <si>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</si>
  <si>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</si>
  <si>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</si>
  <si>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</si>
  <si>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</si>
  <si>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</si>
  <si>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</si>
  <si>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</si>
  <si>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</si>
  <si>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</si>
  <si>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</si>
  <si>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</si>
  <si>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</si>
  <si>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</si>
  <si>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</si>
  <si>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</si>
  <si>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</si>
  <si>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</si>
  <si>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</si>
  <si>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</si>
  <si>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</si>
  <si>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</si>
  <si>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</si>
  <si>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</si>
  <si>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</si>
  <si>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</si>
  <si>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</si>
  <si>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</si>
  <si>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</si>
  <si>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</si>
  <si>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</si>
  <si>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</si>
  <si>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</si>
  <si>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</si>
  <si>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</si>
  <si>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</si>
  <si>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</si>
  <si>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</si>
  <si>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</si>
  <si>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</si>
  <si>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</si>
  <si>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</si>
  <si>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</si>
  <si>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</si>
  <si>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</si>
  <si>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</si>
  <si>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</si>
  <si>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</si>
  <si>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</si>
  <si>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</si>
  <si>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</si>
  <si>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</si>
  <si>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</si>
  <si>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</si>
  <si>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</si>
  <si>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</si>
  <si>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</si>
  <si>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</si>
  <si>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</si>
  <si>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</si>
  <si>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</si>
  <si>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</si>
  <si>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</si>
  <si>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</si>
  <si>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</si>
  <si>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</si>
  <si>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</si>
  <si>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גמול רכז בטחון</t>
  </si>
  <si>
    <t>20 שעות כיתה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</si>
</sst>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zoomScaleNormal="100" workbookViewId="0">
      <selection activeCell="B11" sqref="B11"/>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3" t="s">
        <v>74</v>
      </c>
      <c r="D1" s="33"/>
      <c r="E1" s="33"/>
      <c r="F1" s="26"/>
    </row>
    <row r="2" spans="1:7" ht="15" thickTop="1" x14ac:dyDescent="0.2">
      <c r="A2" s="1" t="s">
        <v>0</v>
      </c>
      <c r="B2" s="2" t="s">
        <v>1</v>
      </c>
      <c r="C2" t="s">
        <v>24</v>
      </c>
    </row>
    <row r="3" spans="1:7" x14ac:dyDescent="0.2">
      <c r="A3" s="1" t="s">
        <v>2</v>
      </c>
      <c r="B3" s="3">
        <v>1</v>
      </c>
      <c r="C3" t="s">
        <v>47</v>
      </c>
    </row>
    <row r="4" spans="1:7" x14ac:dyDescent="0.2">
      <c r="A4" s="1" t="s">
        <v>3</v>
      </c>
      <c r="B4" s="191">
        <f>IF(B9&gt;0%,0,6%)</f>
        <v>0.06</v>
      </c>
      <c r="C4" s="21" t="s">
        <v>36</v>
      </c>
      <c r="D4" s="21" t="s">
        <v>22</v>
      </c>
    </row>
    <row r="5" spans="1:7" x14ac:dyDescent="0.2">
      <c r="A5" s="1" t="s">
        <v>4</v>
      </c>
      <c r="B5" s="192">
        <f>IF(B2=B33,8.75,IF(B2=C33,8.75,0))</f>
        <v>8.75</v>
      </c>
      <c r="C5" s="21" t="s">
        <v>36</v>
      </c>
      <c r="D5" s="21" t="s">
        <v>23</v>
      </c>
    </row>
    <row r="6" spans="1:7" x14ac:dyDescent="0.2">
      <c r="A6" s="1" t="s">
        <v>38</v>
      </c>
      <c r="B6" s="5">
        <v>1</v>
      </c>
      <c r="C6" t="s">
        <v>24</v>
      </c>
    </row>
    <row r="7" spans="1:7" x14ac:dyDescent="0.2">
      <c r="A7" s="1" t="s">
        <v>5</v>
      </c>
      <c r="B7" s="4">
        <v>0</v>
      </c>
      <c r="C7" t="s">
        <v>45</v>
      </c>
    </row>
    <row r="8" spans="1:7" x14ac:dyDescent="0.2">
      <c r="A8" s="1" t="s">
        <v>37</v>
      </c>
      <c r="B8" s="4">
        <v>0.9</v>
      </c>
      <c r="C8" t="s">
        <v>44</v>
      </c>
    </row>
    <row r="9" spans="1:7" x14ac:dyDescent="0.2">
      <c r="A9" s="6" t="s">
        <v>6</v>
      </c>
      <c r="B9" s="4">
        <v>0</v>
      </c>
      <c r="C9" t="s">
        <v>46</v>
      </c>
    </row>
    <row r="10" spans="1:7" x14ac:dyDescent="0.2">
      <c r="A10" s="6" t="s">
        <v>7</v>
      </c>
      <c r="B10" s="4" t="s">
        <v>8</v>
      </c>
      <c r="C10" t="s">
        <v>25</v>
      </c>
      <c r="E10" s="10"/>
    </row>
    <row r="11" spans="1:7" ht="15" thickBot="1" x14ac:dyDescent="0.25">
      <c r="A11" s="16" t="s">
        <v>42</v>
      </c>
      <c r="B11" s="17"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t="s">
        <v>608</v>
      </c>
    </row>
    <row r="15" spans="1:7" ht="15.75" thickBot="1" x14ac:dyDescent="0.3">
      <c r="D15" s="13" t="s">
        <v>40</v>
      </c>
      <c r="E15" s="195">
        <v>0</v>
      </c>
      <c r="F15" s="196">
        <f>($E$15/24)+AX44</f>
        <v>0</v>
      </c>
      <c r="G15" s="11" t="s">
        <v>30</v>
      </c>
    </row>
    <row r="16" spans="1:7" ht="15.75" thickBot="1" x14ac:dyDescent="0.3">
      <c r="D16" s="13" t="s">
        <v>41</v>
      </c>
      <c r="E16" s="195">
        <v>25</v>
      </c>
      <c r="F16" s="196">
        <f>$E$16/30+AX45</f>
        <v>0.93333333333333335</v>
      </c>
      <c r="G16" s="11" t="s">
        <v>31</v>
      </c>
    </row>
    <row r="17" spans="1:69" x14ac:dyDescent="0.2">
      <c r="A17" s="6" t="s">
        <v>39</v>
      </c>
      <c r="C17" s="205"/>
      <c r="D17" s="205"/>
      <c r="E17" s="205"/>
    </row>
    <row r="18" spans="1:69" x14ac:dyDescent="0.2">
      <c r="C18" s="18"/>
      <c r="D18" s="18"/>
      <c r="E18" s="18"/>
      <c r="F18" s="6"/>
      <c r="H18" s="10"/>
    </row>
    <row r="19" spans="1:69" x14ac:dyDescent="0.2">
      <c r="A19" t="s">
        <v>48</v>
      </c>
      <c r="C19" s="18"/>
      <c r="D19" s="18"/>
      <c r="E19" s="18"/>
      <c r="F19" s="6"/>
      <c r="H19" s="10"/>
    </row>
    <row r="20" spans="1:69" ht="15" thickBot="1" x14ac:dyDescent="0.25">
      <c r="A20" s="7" t="s">
        <v>33</v>
      </c>
      <c r="B20" s="193">
        <v>0</v>
      </c>
      <c r="C20" s="18" t="s">
        <v>34</v>
      </c>
      <c r="D20" s="18"/>
      <c r="E20" s="18"/>
    </row>
    <row r="21" spans="1:69" ht="15" thickTop="1" x14ac:dyDescent="0.2">
      <c r="A21" s="6" t="s">
        <v>32</v>
      </c>
      <c r="B21" s="194">
        <v>0</v>
      </c>
      <c r="C21" s="18"/>
      <c r="D21" s="19"/>
      <c r="E21" s="18"/>
    </row>
    <row r="22" spans="1:69" x14ac:dyDescent="0.2">
      <c r="C22" s="18"/>
      <c r="D22" s="18"/>
      <c r="E22" s="18"/>
    </row>
    <row r="23" spans="1:69" x14ac:dyDescent="0.2">
      <c r="C23" s="18"/>
      <c r="D23" s="20"/>
      <c r="E23" s="20"/>
      <c r="F23" s="12"/>
    </row>
    <row r="24" spans="1:69" x14ac:dyDescent="0.2">
      <c r="B24" s="12"/>
      <c r="C24" s="18"/>
      <c r="D24" s="20"/>
      <c r="E24" s="20"/>
      <c r="F24" s="12"/>
    </row>
    <row r="25" spans="1:69" x14ac:dyDescent="0.2">
      <c r="A25" s="12"/>
      <c r="B25" s="12"/>
      <c r="C25" s="20"/>
      <c r="D25" s="20"/>
      <c r="E25" s="20"/>
      <c r="F25" s="12"/>
    </row>
    <row r="26" spans="1:69" x14ac:dyDescent="0.2">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8.25" x14ac:dyDescent="0.2">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0.1825</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
      <c r="A40" s="202">
        <v>0.1</v>
      </c>
      <c r="B40" s="197"/>
      <c r="C40" s="201">
        <f>IF(B9=0,0,3%)</f>
        <v>0</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0.12000000000000001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0.30249999999999999</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65.77</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-5.769999999999996</v>
      </c>
      <c r="P711" s="26" t="s">
        <v>96</v>
      </c>
      <c r="Q711" s="26">
        <f ca="1">Q710+O711</f>
        <v>-5.4099999999999957</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27.230000000000004</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13.26</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45286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-0.30959999999999999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abSelected="1" topLeftCell="A2" zoomScale="85" zoomScaleNormal="85" workbookViewId="0">
      <selection activeCell="C28" sqref="C28"/>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f>N82</f>
        <v>7094.827112546518</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7</v>
      </c>
      <c r="D6" s="36" t="s">
        <v>81</v>
      </c>
      <c r="E6" s="37"/>
      <c r="F6" s="40"/>
      <c r="G6" s="26"/>
      <c r="H6" s="26"/>
      <c r="I6" s="26"/>
      <c r="J6" s="26"/>
      <c r="K6" s="26"/>
      <c r="L6" s="26"/>
      <c r="M6" s="26"/>
      <c r="N6" s="26" t="s">
        <v>82</v>
      </c>
      <c r="O6" s="26" t="s">
        <v>83</v>
      </c>
      <c r="P6" s="26">
        <f>P4*C9</f>
        <v>2967.49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11</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t="e">
        <f>F14</f>
        <v>#N/A</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f>($I$7+$I$8+$I$10+$I$11+$I$9+500)*1.2%*($C$7)*C9</f>
        <v>52.5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0.1</v>
      </c>
      <c r="D14" s="206" t="s">
        <v>133</v>
      </c>
      <c r="E14" s="207"/>
      <c r="F14" s="26" t="e">
        <f>F16*(F15+1)</f>
        <v>#N/A</v>
      </c>
      <c r="G14" s="26"/>
      <c r="H14" s="26"/>
      <c r="I14" s="26"/>
      <c r="J14" s="26"/>
      <c r="K14" s="26">
        <f>($I$7+$I$8+$I$10+$I$11+$I$9+500)*1.2%*($C$8)*C9</f>
        <v>66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t="s">
        <v>611</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0</v>
      </c>
      <c r="D17" s="40" t="s">
        <v>155</v>
      </c>
      <c r="E17" s="38"/>
      <c r="F17" s="26"/>
      <c r="G17" s="26"/>
      <c r="H17" s="26"/>
      <c r="I17" s="26"/>
      <c r="J17" s="26"/>
      <c r="K17" s="26"/>
      <c r="L17" s="26"/>
      <c r="M17" s="26"/>
      <c r="N17" s="26"/>
      <c r="O17" s="26"/>
      <c r="P17" s="26" t="s">
        <v>156</v>
      </c>
      <c r="Q17" s="26">
        <v>0</v>
      </c>
      <c r="R17" s="26">
        <f>R10*1.2%*C8</f>
        <v>920.72244000000001</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t="e">
        <f>K66</f>
        <v>#VALUE!</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7</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t="s">
        <v>612</v>
      </c>
      <c r="D25" s="57">
        <v>0</v>
      </c>
      <c r="E25" s="57">
        <v>0</v>
      </c>
      <c r="F25" s="58">
        <f>SUM(C25:E25)</f>
        <v>0</v>
      </c>
      <c r="G25" s="26" t="s">
        <v>262</v>
      </c>
      <c r="H25" s="26"/>
      <c r="I25" s="26"/>
      <c r="J25" s="26"/>
      <c r="K25" s="26" t="s">
        <v>211</v>
      </c>
      <c r="L25" s="26"/>
      <c r="M25" s="26"/>
      <c r="N25" s="26">
        <f>SUM(N7:N24)</f>
        <v>593</v>
      </c>
      <c r="O25" s="26" t="e">
        <f>SUM(O7:O24)</f>
        <v>#N/A</v>
      </c>
      <c r="P25" s="26" t="str">
        <f>BF73</f>
        <v>תוספת ערבה</v>
      </c>
      <c r="Q25" s="26">
        <f>BG73</f>
        <v>0</v>
      </c>
      <c r="R25" s="26">
        <f>SUM(R10:R24)*'[1]נתוני מס'!L23</f>
        <v>304.22586194316</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t="e">
        <f>C25*1</f>
        <v>#VALUE!</v>
      </c>
      <c r="D26" s="54">
        <f>D25*1.1</f>
        <v>0</v>
      </c>
      <c r="E26" s="54">
        <f>E25*2</f>
        <v>0</v>
      </c>
      <c r="F26" s="59" t="e">
        <f>SUM(C26:E26)</f>
        <v>#VALUE!</v>
      </c>
      <c r="G26" s="26" t="s">
        <v>270</v>
      </c>
      <c r="H26" s="26"/>
      <c r="I26" s="26"/>
      <c r="J26" s="26"/>
      <c r="K26" s="26"/>
      <c r="L26" s="26"/>
      <c r="M26" s="26"/>
      <c r="N26" s="26"/>
      <c r="O26" s="26"/>
      <c r="P26" s="26"/>
      <c r="Q26" s="26" t="e">
        <f>SUM(Q10:Q25)</f>
        <v>#REF!</v>
      </c>
      <c r="R26" s="26">
        <f>SUM(R10:R24)*'[1]נתוני מס'!L22*(1+'[1]נתוני מס'!L23)</f>
        <v>411.48237971489857</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9166.4266289680581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t="str">
        <f>IF(C14&gt;1%,"3%",0)</f>
        <v>3%</v>
      </c>
      <c r="I35" s="26">
        <f>IF(C14&gt;1%,3,0)</f>
        <v>3</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t="e">
        <f>C18</f>
        <v>#VALUE!</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7</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t="e">
        <f>IF(C19=F18,F26,F33)</f>
        <v>#VALUE!</v>
      </c>
      <c r="K66" s="26" t="e">
        <f>VLOOKUP(J66,L54:M62,2,TRUE)</f>
        <v>#VALUE!</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f>VLOOKUP(S69,S72:S88,1,1)</f>
        <v>12500.278191531543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7094.827112546518</v>
      </c>
      <c r="S72" s="26">
        <f>VLOOKUP(INT(W18),ofek4,1+2,FALSE)</f>
        <v>7094.827112546518</v>
      </c>
      <c r="T72" s="26">
        <f>S72*0.75</f>
        <v>5321.1203344098885</v>
      </c>
      <c r="U72" s="26">
        <f t="shared" ref="U72:U88" si="5">T72*$U$70</f>
        <v>4850.4432957898289</v>
      </c>
      <c r="V72" s="26">
        <f t="shared" ref="V72:V88" si="6">U72*$S$64</f>
        <v>4219.7886584712351</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7360.8831292670129</v>
      </c>
      <c r="S73" s="26">
        <f>S72*1.0375</f>
        <v>7360.8831292670129</v>
      </c>
      <c r="T73" s="26">
        <f t="shared" ref="T73:T88" si="7">S73*0.75</f>
        <v>5520.6623469502592</v>
      </c>
      <c r="U73" s="26">
        <f t="shared" si="5"/>
        <v>5032.3349193819477</v>
      </c>
      <c r="V73" s="26">
        <f t="shared" si="6"/>
        <v>4378.0307331639069</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f>IF(OR($C$5=$CB$16,$C$5=$CC$16),S74*1.05,S74)</f>
        <v>7626.9391459875069</v>
      </c>
      <c r="S74" s="26">
        <f>VLOOKUP(INT(W18),ofek4,2+2,FALSE)</f>
        <v>7626.9391459875069</v>
      </c>
      <c r="T74" s="26">
        <f t="shared" si="7"/>
        <v>5720.2043594906299</v>
      </c>
      <c r="U74" s="26">
        <f t="shared" si="5"/>
        <v>5214.2265429740664</v>
      </c>
      <c r="V74" s="26">
        <f t="shared" si="6"/>
        <v>4536.2728078565779</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t="e">
        <f>C25+D25+E25</f>
        <v>#VALUE!</v>
      </c>
      <c r="J75" s="26"/>
      <c r="K75" s="26">
        <f>D25*0.1</f>
        <v>0</v>
      </c>
      <c r="L75" s="26">
        <f>E25*1</f>
        <v>0</v>
      </c>
      <c r="M75" s="26"/>
      <c r="N75" s="26"/>
      <c r="O75" s="26">
        <v>543</v>
      </c>
      <c r="P75" s="26"/>
      <c r="Q75" s="26"/>
      <c r="R75" s="26">
        <f>R74*1.0375</f>
        <v>7912.9493639620387</v>
      </c>
      <c r="S75" s="26">
        <f>S74*1.0375</f>
        <v>7912.9493639620387</v>
      </c>
      <c r="T75" s="26">
        <f t="shared" si="7"/>
        <v>5934.7120229715292</v>
      </c>
      <c r="U75" s="26">
        <f t="shared" si="5"/>
        <v>5409.7600383355939</v>
      </c>
      <c r="V75" s="26">
        <f t="shared" si="6"/>
        <v>4706.3830381511998</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8198.9595819365695</v>
      </c>
      <c r="S76" s="26">
        <f>VLOOKUP(INT(W18),ofek4,3+2,FALSE)</f>
        <v>8198.9595819365695</v>
      </c>
      <c r="T76" s="26">
        <f t="shared" si="7"/>
        <v>6149.2196864524267</v>
      </c>
      <c r="U76" s="26">
        <f t="shared" si="5"/>
        <v>5605.2935336971204</v>
      </c>
      <c r="V76" s="26">
        <f t="shared" si="6"/>
        <v>4876.4932684458208</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t="e">
        <f>I75+K75+L75</f>
        <v>#VALUE!</v>
      </c>
      <c r="L77" s="26"/>
      <c r="M77" s="26"/>
      <c r="N77" s="26"/>
      <c r="O77" s="26">
        <v>543</v>
      </c>
      <c r="P77" s="26"/>
      <c r="Q77" s="26"/>
      <c r="R77" s="26">
        <f>R76*1.0375</f>
        <v>8506.4205662591921</v>
      </c>
      <c r="S77" s="26">
        <f>S76*1.0375</f>
        <v>8506.4205662591921</v>
      </c>
      <c r="T77" s="26">
        <f t="shared" si="7"/>
        <v>6379.8154246943941</v>
      </c>
      <c r="U77" s="26">
        <f t="shared" si="5"/>
        <v>5815.492041210764</v>
      </c>
      <c r="V77" s="26">
        <f t="shared" si="6"/>
        <v>5059.3617660125401</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8813.8815505818111</v>
      </c>
      <c r="S78" s="26">
        <f>VLOOKUP(INT(W18),ofek4,4+2,FALSE)</f>
        <v>8813.8815505818111</v>
      </c>
      <c r="T78" s="26">
        <f t="shared" si="7"/>
        <v>6610.4111629363579</v>
      </c>
      <c r="U78" s="26">
        <f t="shared" si="5"/>
        <v>6025.6905487244039</v>
      </c>
      <c r="V78" s="26">
        <f t="shared" si="6"/>
        <v>5242.2302635792566</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9144.4021087286292</v>
      </c>
      <c r="S79" s="26">
        <f>S78*1.0375</f>
        <v>9144.4021087286292</v>
      </c>
      <c r="T79" s="26">
        <f t="shared" si="7"/>
        <v>6858.3015815464714</v>
      </c>
      <c r="U79" s="26">
        <f t="shared" si="5"/>
        <v>6251.653944301569</v>
      </c>
      <c r="V79" s="26">
        <f t="shared" si="6"/>
        <v>5438.8138984634788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f>IF(OR($C$5=$CB$16,$C$5=$CC$16),S80*1.05,S80)</f>
        <v>9474.9226668754472</v>
      </c>
      <c r="S80" s="26">
        <f>VLOOKUP(INT(W18),ofek4,5+2,FALSE)</f>
        <v>9474.9226668754472</v>
      </c>
      <c r="T80" s="26">
        <f t="shared" si="7"/>
        <v>7106.192000156585</v>
      </c>
      <c r="U80" s="26">
        <f t="shared" si="5"/>
        <v>6477.6173398787341</v>
      </c>
      <c r="V80" s="26">
        <f t="shared" si="6"/>
        <v>5635.397533347701</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7  שנות הוראה  </v>
      </c>
      <c r="O81" s="26">
        <v>543</v>
      </c>
      <c r="P81" s="26"/>
      <c r="Q81" s="26"/>
      <c r="R81" s="26">
        <f>R80*1.0375</f>
        <v>9830.2322668832767</v>
      </c>
      <c r="S81" s="26">
        <f>S80*1.0375</f>
        <v>9830.2322668832767</v>
      </c>
      <c r="T81" s="26">
        <f t="shared" si="7"/>
        <v>7372.6742001624571</v>
      </c>
      <c r="U81" s="26">
        <f t="shared" si="5"/>
        <v>6720.5279901241875</v>
      </c>
      <c r="V81" s="26">
        <f t="shared" si="6"/>
        <v>5846.7249408482403</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7094.827112546518</v>
      </c>
      <c r="O82" s="26"/>
      <c r="P82" s="26"/>
      <c r="Q82" s="26"/>
      <c r="R82" s="26">
        <f>IF(OR($C$5=$CB$16,$C$5=$CC$16),S82*1.05,S82)</f>
        <v>10185.541866891106</v>
      </c>
      <c r="S82" s="26">
        <f>VLOOKUP(INT(W18),ofek4,6+2,FALSE)</f>
        <v>10185.541866891106</v>
      </c>
      <c r="T82" s="26">
        <f t="shared" si="7"/>
        <v>7639.1564001683291</v>
      </c>
      <c r="U82" s="26">
        <f t="shared" si="5"/>
        <v>6963.4386403696399</v>
      </c>
      <c r="V82" s="26">
        <f t="shared" si="6"/>
        <v>6058.0523483487796</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7360.8831292670129</v>
      </c>
      <c r="O83" s="26"/>
      <c r="P83" s="26"/>
      <c r="Q83" s="26"/>
      <c r="R83" s="26">
        <f>R82*1.0375</f>
        <v>10567.499686899524</v>
      </c>
      <c r="S83" s="26">
        <f>S82*1.0425</f>
        <v>10618.427396233978</v>
      </c>
      <c r="T83" s="26">
        <f t="shared" si="7"/>
        <v>7963.8205471754827</v>
      </c>
      <c r="U83" s="26">
        <f t="shared" si="5"/>
        <v>7259.3847825853491</v>
      </c>
      <c r="V83" s="26">
        <f t="shared" si="6"/>
        <v>6315.5195731536014</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7626.9391459875069</v>
      </c>
      <c r="O84" s="26"/>
      <c r="P84" s="26"/>
      <c r="Q84" s="26"/>
      <c r="R84" s="26">
        <f>IF(OR($C$5=$CB$16,$C$5=$CC$16),S84*1.05,S84)</f>
        <v>11051.312925576849</v>
      </c>
      <c r="S84" s="26">
        <f>VLOOKUP(INT(W18),ofek4,7+2,FALSE)</f>
        <v>11051.312925576849</v>
      </c>
      <c r="T84" s="26">
        <f>S84*0.75</f>
        <v>8288.4846941826363</v>
      </c>
      <c r="U84" s="26">
        <f t="shared" si="5"/>
        <v>7555.3309248010582</v>
      </c>
      <c r="V84" s="26">
        <f t="shared" si="6"/>
        <v>6572.9867979584242</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7912.9493639620387</v>
      </c>
      <c r="O85" s="26" t="s">
        <v>9</v>
      </c>
      <c r="P85" s="26" t="s">
        <v>12</v>
      </c>
      <c r="Q85" s="26" t="s">
        <v>13</v>
      </c>
      <c r="R85" s="26">
        <f>R84*1.0375</f>
        <v>11465.737160285982</v>
      </c>
      <c r="S85" s="26">
        <f>S84*1.0425</f>
        <v>11520.993724913866</v>
      </c>
      <c r="T85" s="26">
        <f t="shared" si="7"/>
        <v>8640.7452936853988</v>
      </c>
      <c r="U85" s="26">
        <f t="shared" si="5"/>
        <v>7876.4324891051037</v>
      </c>
      <c r="V85" s="26">
        <f t="shared" si="6"/>
        <v>6852.3387368716576</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8198.9595819365695</v>
      </c>
      <c r="O86" s="26">
        <f t="shared" ref="O86:O102" si="9">N120*0.75</f>
        <v>4725.0025781249997</v>
      </c>
      <c r="P86" s="26">
        <f t="shared" ref="P86:P102" si="10">O86*$U$70</f>
        <v>4307.0548375782419</v>
      </c>
      <c r="Q86" s="26">
        <f t="shared" ref="Q86:Q102" si="11">P86*$S$64</f>
        <v>3747.0515675963188</v>
      </c>
      <c r="R86" s="26">
        <f>IF(OR($C$5=$CB$16,$C$5=$CC$16),S86*1.05,S86)</f>
        <v>11990.67452425088</v>
      </c>
      <c r="S86" s="26">
        <f>VLOOKUP(INT(W18),ofek4,8+2,FALSE)</f>
        <v>11990.67452425088</v>
      </c>
      <c r="T86" s="26">
        <f t="shared" si="7"/>
        <v>8993.0058931881613</v>
      </c>
      <c r="U86" s="26">
        <f t="shared" si="5"/>
        <v>8197.5340534091483</v>
      </c>
      <c r="V86" s="26">
        <f t="shared" si="6"/>
        <v>7131.690675784891</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f t="shared" si="8"/>
        <v>8506.4205662591921</v>
      </c>
      <c r="O87" s="26">
        <f t="shared" si="9"/>
        <v>4902.1901748046876</v>
      </c>
      <c r="P87" s="26">
        <f t="shared" si="10"/>
        <v>4468.5693939874263</v>
      </c>
      <c r="Q87" s="26">
        <f t="shared" si="11"/>
        <v>3887.5660013811812</v>
      </c>
      <c r="R87" s="26">
        <f>R86*1.0375</f>
        <v>12440.324818910289</v>
      </c>
      <c r="S87" s="26">
        <f>S86*1.0425</f>
        <v>12500.278191531543</v>
      </c>
      <c r="T87" s="26">
        <f t="shared" si="7"/>
        <v>9375.208643648657</v>
      </c>
      <c r="U87" s="26">
        <f t="shared" si="5"/>
        <v>8545.9292506790371</v>
      </c>
      <c r="V87" s="26">
        <f t="shared" si="6"/>
        <v>7434.7875295057484</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8813.8815505818111</v>
      </c>
      <c r="O88" s="26">
        <f t="shared" si="9"/>
        <v>5079.3777714843745</v>
      </c>
      <c r="P88" s="26">
        <f t="shared" si="10"/>
        <v>4630.0839503966099</v>
      </c>
      <c r="Q88" s="26">
        <f t="shared" si="11"/>
        <v>4028.0804351660427</v>
      </c>
      <c r="R88" s="26">
        <f>IF(OR($C$5=$CB$16,$C$5=$CC$16),S88*1.05,S88)</f>
        <v>13009.881858812205</v>
      </c>
      <c r="S88" s="26">
        <f>VLOOKUP(INT(W18),ofek4,9+2,FALSE)</f>
        <v>13009.881858812205</v>
      </c>
      <c r="T88" s="26">
        <f t="shared" si="7"/>
        <v>9757.4113941091528</v>
      </c>
      <c r="U88" s="26">
        <f t="shared" si="5"/>
        <v>8894.324447948924</v>
      </c>
      <c r="V88" s="26">
        <f t="shared" si="6"/>
        <v>7737.8843832266048</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9144.4021087286292</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9474.9226668754472</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9830.2322668832767</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10185.541866891106</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10618.427396233978</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11051.312925576849</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11520.993724913866</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11990.67452425088</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12500.278191531543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13009.881858812205</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27</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7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f t="shared" si="14"/>
        <v>7094.827112546518</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f t="shared" si="14"/>
        <v>7360.8831292670129</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f t="shared" si="14"/>
        <v>7626.9391459875069</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f t="shared" si="14"/>
        <v>7912.9493639620387</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8198.9595819365695</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8506.4205662591921</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f t="shared" si="14"/>
        <v>8813.8815505818111</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f t="shared" si="14"/>
        <v>9144.4021087286292</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f t="shared" si="14"/>
        <v>9474.9226668754472</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f t="shared" si="14"/>
        <v>9830.2322668832767</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f t="shared" si="14"/>
        <v>10185.541866891106</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f t="shared" si="14"/>
        <v>10618.427396233978</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11051.312925576849</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f t="shared" si="14"/>
        <v>11520.993724913866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f t="shared" si="14"/>
        <v>11990.67452425088</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f t="shared" si="14"/>
        <v>12500.278191531543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f t="shared" si="14"/>
        <v>13009.881858812205</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f>M170*0.95</f>
        <v>6740.0857569191921</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f t="shared" ref="J208:J223" si="17">M171*0.95</f>
        <v>6992.8389728036618</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7245.5921886881315</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7517.301895763936</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f t="shared" si="17"/>
        <v>7789.0116028397406</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8081.099537946232</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8373.1874730527197</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f t="shared" si="17"/>
        <v>8687.1820032921969</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f t="shared" si="17"/>
        <v>9001.1765335316741</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9338.7206535391124</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9676.2647735465507</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10087.506026422278</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10498.747279298006</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f t="shared" si="17"/>
        <v>10944.944038668173</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f t="shared" si="17"/>
        <v>11391.140798038336</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11875.264281954966</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12359.387765871594</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65.77</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-5.769999999999996</v>
      </c>
      <c r="P711" s="26" t="s">
        <v>96</v>
      </c>
      <c r="Q711" s="26">
        <f ca="1">Q710+O711</f>
        <v>-5.4099999999999957</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27.230000000000004</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13.26</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45286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-0.30959999999999999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user1</cp:lastModifiedBy>
  <cp:lastPrinted>2023-09-05T13:48:47Z</cp:lastPrinted>
  <dcterms:created xsi:type="dcterms:W3CDTF">2023-09-05T11:53:22Z</dcterms:created>
  <dcterms:modified xsi:type="dcterms:W3CDTF">2023-12-26T18:15:34Z</dcterms:modified>
</cp:coreProperties>
</file>