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מ_א_\Downloads\"/>
    </mc:Choice>
  </mc:AlternateContent>
  <xr:revisionPtr revIDLastSave="0" documentId="13_ncr:1_{70D01BCC-285B-4812-BBE2-254DB38701D7}" xr6:coauthVersionLast="47" xr6:coauthVersionMax="47" xr10:uidLastSave="{00000000-0000-0000-0000-000000000000}"/>
  <bookViews>
    <workbookView xWindow="-110" yWindow="-110" windowWidth="19420" windowHeight="1030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8" i="3"/>
  <c r="D937" i="3"/>
  <c r="E936" i="3"/>
  <c r="D936" i="3"/>
  <c r="E935" i="3"/>
  <c r="E934" i="3"/>
  <c r="D934" i="3"/>
  <c r="C934" i="3"/>
  <c r="F929" i="3"/>
  <c r="F928" i="3"/>
  <c r="E928" i="3"/>
  <c r="F927" i="3"/>
  <c r="E917" i="3"/>
  <c r="F915" i="3"/>
  <c r="D914" i="3"/>
  <c r="B914" i="3"/>
  <c r="E913" i="3"/>
  <c r="C913" i="3"/>
  <c r="E911" i="3"/>
  <c r="E910" i="3" s="1"/>
  <c r="G910" i="3"/>
  <c r="D910" i="3"/>
  <c r="B910" i="3"/>
  <c r="G909" i="3"/>
  <c r="G911" i="3" s="1"/>
  <c r="D909" i="3"/>
  <c r="B909" i="3"/>
  <c r="G908" i="3"/>
  <c r="D908" i="3"/>
  <c r="B908" i="3"/>
  <c r="G907" i="3"/>
  <c r="B907" i="3"/>
  <c r="E906" i="3"/>
  <c r="B906" i="3"/>
  <c r="B911" i="3" s="1"/>
  <c r="G905" i="3"/>
  <c r="F905" i="3"/>
  <c r="G970" i="3" s="1"/>
  <c r="F904" i="3"/>
  <c r="F903" i="3"/>
  <c r="F902" i="3"/>
  <c r="C898" i="3"/>
  <c r="I890" i="3"/>
  <c r="H882"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BD722" i="3" s="1"/>
  <c r="X812" i="3"/>
  <c r="BE811" i="3"/>
  <c r="X811" i="3"/>
  <c r="BE808" i="3"/>
  <c r="BE809" i="3" s="1"/>
  <c r="BK723" i="3" s="1"/>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BA760" i="3"/>
  <c r="AZ760" i="3"/>
  <c r="AB757" i="3"/>
  <c r="S757" i="3"/>
  <c r="N757" i="3"/>
  <c r="AG756" i="3"/>
  <c r="AG755" i="3"/>
  <c r="N755" i="3"/>
  <c r="AE754" i="3"/>
  <c r="Z754" i="3"/>
  <c r="W753" i="3"/>
  <c r="N753" i="3"/>
  <c r="M753" i="3"/>
  <c r="AJ752" i="3"/>
  <c r="W752" i="3"/>
  <c r="N752" i="3"/>
  <c r="AJ751" i="3"/>
  <c r="N751" i="3"/>
  <c r="M751" i="3"/>
  <c r="AE750" i="3"/>
  <c r="N750" i="3"/>
  <c r="BG749" i="3"/>
  <c r="BE749" i="3"/>
  <c r="AD749" i="3"/>
  <c r="AC749" i="3"/>
  <c r="AD750" i="3" s="1"/>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2" i="3"/>
  <c r="AP713" i="3" s="1"/>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s="1"/>
  <c r="L218" i="3"/>
  <c r="I218" i="3"/>
  <c r="L217" i="3"/>
  <c r="I217" i="3" s="1"/>
  <c r="L216" i="3"/>
  <c r="I216" i="3"/>
  <c r="L215" i="3"/>
  <c r="I215" i="3" s="1"/>
  <c r="L214" i="3"/>
  <c r="I214" i="3"/>
  <c r="L213" i="3"/>
  <c r="I213" i="3" s="1"/>
  <c r="L212" i="3"/>
  <c r="I212" i="3"/>
  <c r="F212" i="3"/>
  <c r="L211" i="3"/>
  <c r="I211" i="3"/>
  <c r="F211" i="3"/>
  <c r="L210" i="3"/>
  <c r="I210" i="3" s="1"/>
  <c r="F210" i="3"/>
  <c r="L209" i="3"/>
  <c r="I209" i="3"/>
  <c r="L208" i="3"/>
  <c r="I208" i="3"/>
  <c r="L207" i="3"/>
  <c r="I207" i="3" s="1"/>
  <c r="L206" i="3"/>
  <c r="L205" i="3"/>
  <c r="G204" i="3"/>
  <c r="F204" i="3"/>
  <c r="G203" i="3"/>
  <c r="G202" i="3"/>
  <c r="G180" i="3" s="1"/>
  <c r="D202" i="3"/>
  <c r="B202" i="3"/>
  <c r="C201" i="3"/>
  <c r="D198" i="3"/>
  <c r="B198" i="3"/>
  <c r="D197" i="3"/>
  <c r="B197" i="3"/>
  <c r="D196" i="3"/>
  <c r="B196" i="3"/>
  <c r="B195" i="3"/>
  <c r="B194" i="3"/>
  <c r="B199" i="3" s="1"/>
  <c r="F193" i="3"/>
  <c r="H192" i="3"/>
  <c r="G190" i="3"/>
  <c r="F189" i="3"/>
  <c r="F187" i="3"/>
  <c r="C186" i="3"/>
  <c r="F182" i="3"/>
  <c r="G179" i="3"/>
  <c r="G178" i="3"/>
  <c r="G177" i="3"/>
  <c r="J175" i="3"/>
  <c r="I173" i="3"/>
  <c r="M168" i="3"/>
  <c r="I167" i="3"/>
  <c r="I163" i="3"/>
  <c r="I162" i="3"/>
  <c r="I161" i="3"/>
  <c r="H160" i="3"/>
  <c r="H158" i="3"/>
  <c r="H157" i="3"/>
  <c r="H159" i="3" s="1"/>
  <c r="H156" i="3"/>
  <c r="H193" i="3" s="1"/>
  <c r="H155" i="3"/>
  <c r="D155" i="3"/>
  <c r="O20" i="3" s="1"/>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O98" i="3"/>
  <c r="P98" i="3" s="1"/>
  <c r="Q98" i="3" s="1"/>
  <c r="BJ97" i="3"/>
  <c r="BI97" i="3"/>
  <c r="O97" i="3"/>
  <c r="P97" i="3" s="1"/>
  <c r="Q97" i="3" s="1"/>
  <c r="BJ96" i="3"/>
  <c r="BI96" i="3"/>
  <c r="P96" i="3"/>
  <c r="Q96" i="3" s="1"/>
  <c r="O96" i="3"/>
  <c r="BJ95" i="3"/>
  <c r="BI95" i="3"/>
  <c r="O95" i="3"/>
  <c r="P95" i="3" s="1"/>
  <c r="Q95" i="3" s="1"/>
  <c r="BJ94" i="3"/>
  <c r="BI94" i="3"/>
  <c r="P94" i="3"/>
  <c r="Q94" i="3" s="1"/>
  <c r="O94" i="3"/>
  <c r="BJ93" i="3"/>
  <c r="BI93" i="3"/>
  <c r="O93" i="3"/>
  <c r="P93" i="3" s="1"/>
  <c r="Q93" i="3" s="1"/>
  <c r="BJ92" i="3"/>
  <c r="BI92" i="3"/>
  <c r="O92" i="3"/>
  <c r="P92" i="3" s="1"/>
  <c r="Q92" i="3" s="1"/>
  <c r="O91" i="3"/>
  <c r="P91" i="3" s="1"/>
  <c r="Q91" i="3" s="1"/>
  <c r="P90" i="3"/>
  <c r="Q90" i="3" s="1"/>
  <c r="O90" i="3"/>
  <c r="P89" i="3"/>
  <c r="Q89" i="3" s="1"/>
  <c r="O89" i="3"/>
  <c r="P88" i="3"/>
  <c r="Q88" i="3" s="1"/>
  <c r="O88" i="3"/>
  <c r="O87" i="3"/>
  <c r="P87" i="3" s="1"/>
  <c r="Q87" i="3" s="1"/>
  <c r="P86" i="3"/>
  <c r="Q86" i="3" s="1"/>
  <c r="O86" i="3"/>
  <c r="W80" i="3"/>
  <c r="W78" i="3"/>
  <c r="BF75" i="3"/>
  <c r="L75" i="3"/>
  <c r="K75" i="3"/>
  <c r="I75" i="3"/>
  <c r="BF74" i="3"/>
  <c r="W72" i="3"/>
  <c r="T64" i="3"/>
  <c r="T61" i="3"/>
  <c r="T63" i="3" s="1"/>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L41" i="3" s="1"/>
  <c r="BL42" i="3" s="1"/>
  <c r="BJ39" i="3"/>
  <c r="AI39" i="3"/>
  <c r="AH39" i="3"/>
  <c r="AE39" i="3"/>
  <c r="AE38" i="3" s="1"/>
  <c r="P39" i="3"/>
  <c r="Q39" i="3" s="1"/>
  <c r="O39" i="3"/>
  <c r="C39" i="3"/>
  <c r="X23" i="3" s="1"/>
  <c r="AG38" i="3"/>
  <c r="AI37" i="3"/>
  <c r="AH37" i="3"/>
  <c r="AJ36" i="3" s="1"/>
  <c r="X37" i="3"/>
  <c r="AA37" i="3" s="1"/>
  <c r="K37" i="3"/>
  <c r="AQ36" i="3"/>
  <c r="L36" i="3"/>
  <c r="I35" i="3"/>
  <c r="H35" i="3"/>
  <c r="AO34" i="3"/>
  <c r="AO35" i="3" s="1"/>
  <c r="I34" i="3"/>
  <c r="V33" i="3"/>
  <c r="U33" i="3"/>
  <c r="T33" i="3"/>
  <c r="W33" i="3" s="1"/>
  <c r="T30" i="3" s="1"/>
  <c r="D135" i="3" s="1"/>
  <c r="BM32" i="3"/>
  <c r="BJ32" i="3"/>
  <c r="BA32" i="3"/>
  <c r="AG32" i="3"/>
  <c r="AE32" i="3"/>
  <c r="W32" i="3"/>
  <c r="T29" i="3" s="1"/>
  <c r="D134" i="3" s="1"/>
  <c r="V32" i="3"/>
  <c r="U32" i="3"/>
  <c r="BJ31" i="3"/>
  <c r="BA31" i="3"/>
  <c r="AO31" i="3"/>
  <c r="AP31" i="3" s="1"/>
  <c r="AJ30" i="3"/>
  <c r="S30" i="3"/>
  <c r="E30" i="3"/>
  <c r="D30" i="3"/>
  <c r="C30" i="3"/>
  <c r="F30" i="3" s="1"/>
  <c r="F31" i="3" s="1"/>
  <c r="AY29" i="3"/>
  <c r="AB29" i="3"/>
  <c r="S29" i="3"/>
  <c r="F29" i="3"/>
  <c r="AK28" i="3"/>
  <c r="AJ28" i="3"/>
  <c r="Q28" i="3"/>
  <c r="P28" i="3"/>
  <c r="P29" i="3" s="1"/>
  <c r="BJ26" i="3"/>
  <c r="BC26" i="3"/>
  <c r="AF27" i="3" s="1"/>
  <c r="AR27" i="3" s="1"/>
  <c r="E26" i="3"/>
  <c r="D26" i="3"/>
  <c r="C26" i="3"/>
  <c r="DF25" i="3"/>
  <c r="BJ25" i="3"/>
  <c r="BC25" i="3"/>
  <c r="W25" i="3"/>
  <c r="T25" i="3"/>
  <c r="Q25" i="3"/>
  <c r="R24" i="3" s="1"/>
  <c r="P25" i="3"/>
  <c r="S25" i="3" s="1"/>
  <c r="F25" i="3"/>
  <c r="C17" i="3" s="1"/>
  <c r="F16" i="3" s="1"/>
  <c r="BJ24" i="3"/>
  <c r="BC24" i="3"/>
  <c r="AX24" i="3"/>
  <c r="O24" i="3"/>
  <c r="N24" i="3"/>
  <c r="CS23" i="3"/>
  <c r="CS24" i="3" s="1"/>
  <c r="CS25" i="3" s="1"/>
  <c r="CS26" i="3" s="1"/>
  <c r="CS27" i="3" s="1"/>
  <c r="BJ23" i="3"/>
  <c r="CS22" i="3"/>
  <c r="BJ22" i="3"/>
  <c r="BJ27" i="3" s="1"/>
  <c r="BB22" i="3"/>
  <c r="S22" i="3"/>
  <c r="O22" i="3"/>
  <c r="S21" i="3"/>
  <c r="O21" i="3"/>
  <c r="BS20" i="3"/>
  <c r="BR20" i="3"/>
  <c r="BB20" i="3"/>
  <c r="D227" i="3" s="1"/>
  <c r="W20" i="3"/>
  <c r="S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CT14" i="3"/>
  <c r="CT15" i="3" s="1"/>
  <c r="CT16" i="3" s="1"/>
  <c r="CT17" i="3" s="1"/>
  <c r="CT18" i="3" s="1"/>
  <c r="CT19" i="3" s="1"/>
  <c r="CT20" i="3" s="1"/>
  <c r="CT21" i="3" s="1"/>
  <c r="CT22" i="3" s="1"/>
  <c r="CT23" i="3" s="1"/>
  <c r="CT24" i="3" s="1"/>
  <c r="CT25" i="3" s="1"/>
  <c r="CT26" i="3" s="1"/>
  <c r="CT27" i="3" s="1"/>
  <c r="AL14" i="3"/>
  <c r="AE14" i="3"/>
  <c r="S14" i="3"/>
  <c r="R14" i="3"/>
  <c r="P14" i="3"/>
  <c r="K14" i="3"/>
  <c r="CT13" i="3"/>
  <c r="W13" i="3"/>
  <c r="S13" i="3"/>
  <c r="P13" i="3"/>
  <c r="S12" i="3"/>
  <c r="R12" i="3"/>
  <c r="P12" i="3"/>
  <c r="AD11" i="3"/>
  <c r="F213" i="3" s="1"/>
  <c r="S11" i="3"/>
  <c r="P11" i="3"/>
  <c r="V9" i="3"/>
  <c r="Q9" i="3"/>
  <c r="AJ8" i="3"/>
  <c r="P4" i="3" s="1"/>
  <c r="P6" i="3" s="1"/>
  <c r="T8" i="3"/>
  <c r="V7" i="3"/>
  <c r="V8" i="3" s="1"/>
  <c r="T7" i="3"/>
  <c r="P106" i="3" s="1"/>
  <c r="N7" i="3"/>
  <c r="N10" i="3" s="1"/>
  <c r="C7" i="3"/>
  <c r="K13" i="3" s="1"/>
  <c r="N3" i="3"/>
  <c r="G3" i="3"/>
  <c r="C21" i="3" s="1"/>
  <c r="N2" i="3"/>
  <c r="X1" i="3"/>
  <c r="Y1" i="3" s="1"/>
  <c r="Y2" i="3" s="1"/>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2" i="4" s="1"/>
  <c r="E910" i="4"/>
  <c r="D910" i="4"/>
  <c r="B910" i="4"/>
  <c r="G909" i="4"/>
  <c r="E909" i="4"/>
  <c r="D909" i="4"/>
  <c r="B909" i="4"/>
  <c r="G908" i="4"/>
  <c r="G945" i="4" s="1"/>
  <c r="E908" i="4"/>
  <c r="D908" i="4"/>
  <c r="B908" i="4"/>
  <c r="G907" i="4"/>
  <c r="E907" i="4"/>
  <c r="B907" i="4"/>
  <c r="B906" i="4"/>
  <c r="B911" i="4" s="1"/>
  <c r="G905" i="4"/>
  <c r="F904" i="4"/>
  <c r="F903" i="4"/>
  <c r="F902" i="4"/>
  <c r="C898" i="4"/>
  <c r="H882" i="4"/>
  <c r="H878" i="4"/>
  <c r="H877" i="4"/>
  <c r="H867" i="4"/>
  <c r="N855" i="4"/>
  <c r="M855" i="4"/>
  <c r="N854" i="4"/>
  <c r="M854" i="4"/>
  <c r="N853" i="4"/>
  <c r="M853" i="4"/>
  <c r="L853" i="4"/>
  <c r="M852" i="4"/>
  <c r="N851" i="4"/>
  <c r="N850" i="4"/>
  <c r="N856" i="4" s="1"/>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6" i="4"/>
  <c r="Y727" i="4" s="1"/>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s="1"/>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3" i="4" s="1"/>
  <c r="C186" i="4"/>
  <c r="F185" i="4"/>
  <c r="F184"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O101" i="4"/>
  <c r="P101" i="4" s="1"/>
  <c r="Q101" i="4" s="1"/>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B42" i="4"/>
  <c r="BC24" i="4" s="1"/>
  <c r="AG36" i="4" s="1"/>
  <c r="N42" i="4"/>
  <c r="M42" i="4"/>
  <c r="AO41" i="4"/>
  <c r="AO42" i="4" s="1"/>
  <c r="AF41" i="4"/>
  <c r="AF42" i="4" s="1"/>
  <c r="BL40" i="4"/>
  <c r="P40" i="4"/>
  <c r="Q40" i="4" s="1"/>
  <c r="I40" i="4"/>
  <c r="I41" i="4" s="1"/>
  <c r="I42" i="4" s="1"/>
  <c r="I43" i="4" s="1"/>
  <c r="I44" i="4" s="1"/>
  <c r="I45" i="4" s="1"/>
  <c r="BL39" i="4"/>
  <c r="AI39" i="4"/>
  <c r="AH39" i="4"/>
  <c r="AE39" i="4"/>
  <c r="AE38" i="4" s="1"/>
  <c r="P39" i="4"/>
  <c r="Q39" i="4" s="1"/>
  <c r="O39" i="4"/>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T7" i="4"/>
  <c r="C7" i="4"/>
  <c r="G3" i="4"/>
  <c r="X1" i="4"/>
  <c r="Y1" i="4" s="1"/>
  <c r="Y2" i="4" s="1"/>
  <c r="S1" i="4"/>
  <c r="H167" i="4" s="1"/>
  <c r="B5" i="1"/>
  <c r="B4" i="1"/>
  <c r="AU44" i="1"/>
  <c r="AV44" i="1"/>
  <c r="AV45" i="1"/>
  <c r="C39" i="1"/>
  <c r="C40" i="1"/>
  <c r="R5" i="4" l="1"/>
  <c r="F26" i="3"/>
  <c r="J66" i="3" s="1"/>
  <c r="K66" i="3" s="1"/>
  <c r="C18" i="3" s="1"/>
  <c r="C37" i="3" s="1"/>
  <c r="R39" i="3"/>
  <c r="O36" i="3" s="1"/>
  <c r="Q40" i="3"/>
  <c r="R40" i="3" s="1"/>
  <c r="O37" i="3" s="1"/>
  <c r="V21" i="3"/>
  <c r="AA737" i="3"/>
  <c r="AM737" i="3" s="1"/>
  <c r="R39" i="4"/>
  <c r="O36" i="4" s="1"/>
  <c r="P106" i="4"/>
  <c r="BJ39" i="4"/>
  <c r="F186" i="4"/>
  <c r="N757" i="4"/>
  <c r="N8" i="3"/>
  <c r="N25" i="3" s="1"/>
  <c r="V8" i="4"/>
  <c r="BL41" i="4"/>
  <c r="BL42" i="4" s="1"/>
  <c r="AJ40" i="3"/>
  <c r="AI40" i="3" s="1"/>
  <c r="N758" i="3"/>
  <c r="E907" i="3"/>
  <c r="E909" i="3"/>
  <c r="E912" i="3"/>
  <c r="H154" i="4"/>
  <c r="G182" i="4" s="1"/>
  <c r="BA44" i="4"/>
  <c r="E906" i="4"/>
  <c r="F32" i="3"/>
  <c r="N756" i="3"/>
  <c r="N766" i="3"/>
  <c r="O7" i="3"/>
  <c r="O19" i="3" s="1"/>
  <c r="F146" i="3"/>
  <c r="J797" i="3"/>
  <c r="BD808" i="3"/>
  <c r="K880" i="3"/>
  <c r="C951" i="3" s="1"/>
  <c r="E908" i="3"/>
  <c r="K77" i="3"/>
  <c r="G145" i="3"/>
  <c r="G142" i="3" s="1"/>
  <c r="F143" i="3"/>
  <c r="M49" i="3"/>
  <c r="BF20" i="4"/>
  <c r="BF26" i="4" s="1"/>
  <c r="BM20" i="3"/>
  <c r="BM26" i="3" s="1"/>
  <c r="I902" i="3"/>
  <c r="BN20" i="3"/>
  <c r="BU24" i="3"/>
  <c r="BU22" i="3"/>
  <c r="BU27" i="3" s="1"/>
  <c r="BU26" i="3"/>
  <c r="BL20" i="3"/>
  <c r="BJ20" i="3"/>
  <c r="BJ29" i="3" s="1"/>
  <c r="BI19" i="3"/>
  <c r="BF20" i="3"/>
  <c r="BF25" i="3" s="1"/>
  <c r="BS21" i="3"/>
  <c r="BM25" i="3"/>
  <c r="D949" i="3"/>
  <c r="D950"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R719" i="3"/>
  <c r="AR718" i="3" s="1"/>
  <c r="AY720"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P23"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V33" i="4"/>
  <c r="W33" i="4" s="1"/>
  <c r="T30" i="4" s="1"/>
  <c r="D135" i="4" s="1"/>
  <c r="AI36" i="4"/>
  <c r="R40" i="4"/>
  <c r="O37" i="4" s="1"/>
  <c r="BK19" i="4"/>
  <c r="BE22" i="4"/>
  <c r="BE27" i="4" s="1"/>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D951" i="3" l="1"/>
  <c r="D946" i="3" s="1"/>
  <c r="F205" i="4"/>
  <c r="BM22" i="3"/>
  <c r="BM24" i="3"/>
  <c r="BL24" i="4"/>
  <c r="AY32" i="4"/>
  <c r="AY36" i="4" s="1"/>
  <c r="AY34" i="4" s="1"/>
  <c r="BM35" i="3"/>
  <c r="BF23" i="4"/>
  <c r="BM23" i="3"/>
  <c r="BF24" i="4"/>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M33" i="3" l="1"/>
  <c r="BN33" i="3" s="1"/>
  <c r="BM34" i="3"/>
  <c r="BN34" i="3"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9" i="3" l="1"/>
  <c r="BB88" i="3"/>
  <c r="BP31" i="3" s="1"/>
  <c r="BM31" i="3" s="1"/>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40" i="4" s="1"/>
  <c r="E914" i="4" s="1"/>
  <c r="BF736" i="4"/>
  <c r="BF732" i="4"/>
  <c r="BF737" i="4" s="1"/>
  <c r="BF735" i="4"/>
  <c r="BF734" i="4"/>
  <c r="N10" i="4"/>
  <c r="O7" i="4"/>
  <c r="N8" i="4"/>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S70" i="3" s="1"/>
  <c r="T86" i="3"/>
  <c r="U86" i="3" s="1"/>
  <c r="V86" i="3" s="1"/>
  <c r="R86" i="3"/>
  <c r="R87" i="3" s="1"/>
  <c r="N96" i="3"/>
  <c r="M184" i="3" s="1"/>
  <c r="J221" i="3" s="1"/>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<sst xmlns="http://schemas.openxmlformats.org/spreadsheetml/2006/main" count="2763" uniqueCount="611">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</sst>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10" sqref="B10"/>
    </sheetView>
  </sheetViews>
  <sheetFormatPr defaultRowHeight="14" x14ac:dyDescent="0.3"/>
  <cols>
    <col min="1" max="1" width="31.33203125" customWidth="1"/>
    <col min="3" max="3" width="29.25" customWidth="1"/>
    <col min="4" max="4" width="29.33203125" customWidth="1"/>
    <col min="5" max="5" width="18.25" customWidth="1"/>
    <col min="7" max="7" width="34.08203125" customWidth="1"/>
  </cols>
  <sheetData>
    <row r="1" spans="1:7" ht="15" thickTop="1" thickBot="1" x14ac:dyDescent="0.35">
      <c r="A1" s="8" t="s">
        <v>35</v>
      </c>
      <c r="B1" s="9"/>
      <c r="C1" s="33" t="s">
        <v>74</v>
      </c>
      <c r="D1" s="33"/>
      <c r="E1" s="33"/>
      <c r="F1" s="26"/>
    </row>
    <row r="2" spans="1:7" ht="14.5" thickTop="1" x14ac:dyDescent="0.3">
      <c r="A2" s="1" t="s">
        <v>0</v>
      </c>
      <c r="B2" s="2" t="s">
        <v>1</v>
      </c>
      <c r="C2" t="s">
        <v>24</v>
      </c>
    </row>
    <row r="3" spans="1:7" x14ac:dyDescent="0.3">
      <c r="A3" s="1" t="s">
        <v>2</v>
      </c>
      <c r="B3" s="3">
        <v>16</v>
      </c>
      <c r="C3" t="s">
        <v>47</v>
      </c>
    </row>
    <row r="4" spans="1:7" x14ac:dyDescent="0.3">
      <c r="A4" s="1" t="s">
        <v>3</v>
      </c>
      <c r="B4" s="191">
        <f>IF(B9&gt;0%,0,6%)</f>
        <v>0</v>
      </c>
      <c r="C4" s="21" t="s">
        <v>36</v>
      </c>
      <c r="D4" s="21" t="s">
        <v>22</v>
      </c>
    </row>
    <row r="5" spans="1:7" x14ac:dyDescent="0.3">
      <c r="A5" s="1" t="s">
        <v>4</v>
      </c>
      <c r="B5" s="192">
        <f>IF(B2=B33,8.75,IF(B2=C33,8.75,0))</f>
        <v>8.75</v>
      </c>
      <c r="C5" s="21" t="s">
        <v>36</v>
      </c>
      <c r="D5" s="21" t="s">
        <v>23</v>
      </c>
    </row>
    <row r="6" spans="1:7" x14ac:dyDescent="0.3">
      <c r="A6" s="1" t="s">
        <v>38</v>
      </c>
      <c r="B6" s="5">
        <v>11</v>
      </c>
      <c r="C6" t="s">
        <v>24</v>
      </c>
    </row>
    <row r="7" spans="1:7" x14ac:dyDescent="0.3">
      <c r="A7" s="1" t="s">
        <v>5</v>
      </c>
      <c r="B7" s="4">
        <v>0</v>
      </c>
      <c r="C7" t="s">
        <v>45</v>
      </c>
    </row>
    <row r="8" spans="1:7" x14ac:dyDescent="0.3">
      <c r="A8" s="1" t="s">
        <v>37</v>
      </c>
      <c r="B8" s="4">
        <v>0.9</v>
      </c>
      <c r="C8" t="s">
        <v>44</v>
      </c>
    </row>
    <row r="9" spans="1:7" x14ac:dyDescent="0.3">
      <c r="A9" s="6" t="s">
        <v>6</v>
      </c>
      <c r="B9" s="4">
        <v>0.1</v>
      </c>
      <c r="C9" t="s">
        <v>46</v>
      </c>
    </row>
    <row r="10" spans="1:7" x14ac:dyDescent="0.3">
      <c r="A10" s="6" t="s">
        <v>7</v>
      </c>
      <c r="B10" s="4" t="s">
        <v>8</v>
      </c>
      <c r="C10" t="s">
        <v>25</v>
      </c>
      <c r="E10" s="10"/>
    </row>
    <row r="11" spans="1:7" ht="14.5" thickBot="1" x14ac:dyDescent="0.35">
      <c r="A11" s="16" t="s">
        <v>42</v>
      </c>
      <c r="B11" s="17" t="s">
        <v>28</v>
      </c>
      <c r="C11" t="s">
        <v>43</v>
      </c>
      <c r="E11" s="10"/>
    </row>
    <row r="12" spans="1:7" ht="14.5" thickTop="1" x14ac:dyDescent="0.3">
      <c r="A12" s="14" t="s">
        <v>42</v>
      </c>
      <c r="B12" s="15">
        <v>1</v>
      </c>
      <c r="C12" t="s">
        <v>51</v>
      </c>
    </row>
    <row r="13" spans="1:7" x14ac:dyDescent="0.3">
      <c r="A13" s="14" t="s">
        <v>30</v>
      </c>
      <c r="B13" s="15">
        <v>0.5</v>
      </c>
      <c r="C13" t="s">
        <v>50</v>
      </c>
    </row>
    <row r="14" spans="1:7" x14ac:dyDescent="0.3">
      <c r="A14" s="14" t="s">
        <v>31</v>
      </c>
      <c r="B14" s="15">
        <v>0.5</v>
      </c>
      <c r="C14" t="s">
        <v>49</v>
      </c>
      <c r="D14" t="s">
        <v>608</v>
      </c>
    </row>
    <row r="15" spans="1:7" ht="14.5" thickBot="1" x14ac:dyDescent="0.35">
      <c r="D15" s="13" t="s">
        <v>40</v>
      </c>
      <c r="E15" s="195">
        <v>0</v>
      </c>
      <c r="F15" s="196">
        <f>($E$15/24)+AX44</f>
        <v>0</v>
      </c>
      <c r="G15" s="11" t="s">
        <v>30</v>
      </c>
    </row>
    <row r="16" spans="1:7" ht="14.5" thickBot="1" x14ac:dyDescent="0.35">
      <c r="D16" s="13" t="s">
        <v>41</v>
      </c>
      <c r="E16" s="195">
        <v>25</v>
      </c>
      <c r="F16" s="196">
        <f>$E$16/30+AX45</f>
        <v>0.93333333333333335</v>
      </c>
      <c r="G16" s="11" t="s">
        <v>31</v>
      </c>
    </row>
    <row r="17" spans="1:69" x14ac:dyDescent="0.3">
      <c r="A17" s="6" t="s">
        <v>39</v>
      </c>
      <c r="C17" s="205"/>
      <c r="D17" s="205"/>
      <c r="E17" s="205"/>
    </row>
    <row r="18" spans="1:69" x14ac:dyDescent="0.3">
      <c r="C18" s="18"/>
      <c r="D18" s="18"/>
      <c r="E18" s="18"/>
      <c r="F18" s="6"/>
      <c r="H18" s="10"/>
    </row>
    <row r="19" spans="1:69" x14ac:dyDescent="0.3">
      <c r="A19" t="s">
        <v>48</v>
      </c>
      <c r="C19" s="18"/>
      <c r="D19" s="18"/>
      <c r="E19" s="18"/>
      <c r="F19" s="6"/>
      <c r="H19" s="10"/>
    </row>
    <row r="20" spans="1:69" ht="14.5" thickBot="1" x14ac:dyDescent="0.35">
      <c r="A20" s="7" t="s">
        <v>33</v>
      </c>
      <c r="B20" s="193">
        <v>2</v>
      </c>
      <c r="C20" s="18" t="s">
        <v>34</v>
      </c>
      <c r="D20" s="18"/>
      <c r="E20" s="18"/>
    </row>
    <row r="21" spans="1:69" ht="14.5" thickTop="1" x14ac:dyDescent="0.3">
      <c r="A21" s="6" t="s">
        <v>32</v>
      </c>
      <c r="B21" s="194">
        <v>0</v>
      </c>
      <c r="C21" s="18"/>
      <c r="D21" s="19"/>
      <c r="E21" s="18"/>
    </row>
    <row r="22" spans="1:69" x14ac:dyDescent="0.3">
      <c r="C22" s="18"/>
      <c r="D22" s="18"/>
      <c r="E22" s="18"/>
    </row>
    <row r="23" spans="1:69" x14ac:dyDescent="0.3">
      <c r="C23" s="18"/>
      <c r="D23" s="20"/>
      <c r="E23" s="20"/>
      <c r="F23" s="12"/>
    </row>
    <row r="24" spans="1:69" x14ac:dyDescent="0.3">
      <c r="B24" s="12"/>
      <c r="C24" s="18"/>
      <c r="D24" s="20"/>
      <c r="E24" s="20"/>
      <c r="F24" s="12"/>
    </row>
    <row r="25" spans="1:69" x14ac:dyDescent="0.3">
      <c r="A25" s="12"/>
      <c r="B25" s="12"/>
      <c r="C25" s="20"/>
      <c r="D25" s="20"/>
      <c r="E25" s="20"/>
      <c r="F25" s="12"/>
    </row>
    <row r="26" spans="1:69" x14ac:dyDescent="0.3">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3">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3">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3">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3">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3">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3">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 x14ac:dyDescent="0.3">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3">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3">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3">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3">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3">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3">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0.19750000000000001</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3">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0.13500000000000001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3">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0.33250000000000002</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3">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3">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3">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3">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0.83333333333333337</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3">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3">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3">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3">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3">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3">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3">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3">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3">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3">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3">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3">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3">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3">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3">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3">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3">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3">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3">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3">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3">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3">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3">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3">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3">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3">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3">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3">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3">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3">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4">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3">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3">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5">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4">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3">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3">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3">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3">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3">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3">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3">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3">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3">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3">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65.78</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-5.7800000000000011</v>
      </c>
      <c r="P711" s="26" t="s">
        <v>96</v>
      </c>
      <c r="Q711" s="26">
        <f ca="1">Q710+O711</f>
        <v>-5.4200000000000008</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27.22</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54</v>
      </c>
      <c r="N738" s="26">
        <f ca="1">ROUND((I775-AT720)/365.25,2)</f>
        <v>13.27</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575</v>
      </c>
      <c r="I775" s="26">
        <f ca="1">TODAY()</f>
        <v>45288</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-0.30984000000000012</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559</v>
      </c>
      <c r="D919" s="107"/>
      <c r="E919" s="131"/>
      <c r="G919" s="26">
        <f ca="1">N738</f>
        <v>13.27</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7" stopIfTrue="1">
      <formula>#REF!=0</formula>
    </cfRule>
    <cfRule type="expression" dxfId="175" priority="86"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7" stopIfTrue="1">
      <formula>$C$10="ז-ח"</formula>
    </cfRule>
    <cfRule type="expression" dxfId="172" priority="6" stopIfTrue="1">
      <formula>$C$10="חטיבת ביניים"</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8" stopIfTrue="1">
      <formula>$C$39=0</formula>
    </cfRule>
    <cfRule type="expression" dxfId="133" priority="46" stopIfTrue="1">
      <formula>$CC$12&lt;&gt;$C$5</formula>
    </cfRule>
    <cfRule type="expression" dxfId="132" priority="47" stopIfTrue="1">
      <formula>$Q$2=$M81</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49" stopIfTrue="1">
      <formula>$Q$2=$M168</formula>
    </cfRule>
    <cfRule type="expression" dxfId="116" priority="50" stopIfTrue="1">
      <formula>$C$39=0</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3" stopIfTrue="1">
      <formula>$C$39=0</formula>
    </cfRule>
    <cfRule type="expression" dxfId="110" priority="11" stopIfTrue="1">
      <formula>$C$9=1</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zoomScale="85" zoomScaleNormal="85" workbookViewId="0">
      <selection activeCell="C5" sqref="C5"/>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52</v>
      </c>
      <c r="C1" s="23"/>
      <c r="D1" s="24"/>
      <c r="E1" s="24"/>
      <c r="F1" s="25"/>
      <c r="G1" s="26"/>
      <c r="H1" s="26" t="s">
        <v>53</v>
      </c>
      <c r="I1" s="26"/>
      <c r="J1" s="26"/>
      <c r="K1" s="26"/>
      <c r="L1" s="26"/>
      <c r="M1" s="26"/>
      <c r="N1" s="26"/>
      <c r="O1" s="26"/>
      <c r="P1" s="26">
        <f>N82</f>
        <v>7759.5079252338364</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16</v>
      </c>
      <c r="D6" s="36" t="s">
        <v>81</v>
      </c>
      <c r="E6" s="37"/>
      <c r="F6" s="40"/>
      <c r="G6" s="26"/>
      <c r="H6" s="26"/>
      <c r="I6" s="26"/>
      <c r="J6" s="26"/>
      <c r="K6" s="26"/>
      <c r="L6" s="26"/>
      <c r="M6" s="26"/>
      <c r="N6" s="26" t="s">
        <v>82</v>
      </c>
      <c r="O6" s="26" t="s">
        <v>83</v>
      </c>
      <c r="P6" s="26">
        <f>P4*C9</f>
        <v>2967.49</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91</v>
      </c>
      <c r="C8" s="42">
        <v>1</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99</v>
      </c>
      <c r="C9" s="44">
        <v>1</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3">
      <c r="B10" s="41" t="s">
        <v>110</v>
      </c>
      <c r="C10" s="188">
        <f>F14</f>
        <v>0.16800000000000001</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3">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3">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3">
      <c r="A13" s="48"/>
      <c r="B13" s="46" t="s">
        <v>5</v>
      </c>
      <c r="C13" s="47">
        <v>0</v>
      </c>
      <c r="D13" s="206" t="s">
        <v>118</v>
      </c>
      <c r="E13" s="207"/>
      <c r="F13" s="26"/>
      <c r="G13" s="26"/>
      <c r="H13" s="26"/>
      <c r="I13" s="26"/>
      <c r="J13" s="26"/>
      <c r="K13" s="26">
        <f>($I$7+$I$8+$I$10+$I$11+$I$9+500)*1.2%*($C$7)*C9</f>
        <v>52.5</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v>
      </c>
      <c r="D14" s="206" t="s">
        <v>133</v>
      </c>
      <c r="E14" s="207"/>
      <c r="F14" s="26">
        <f>F16*(F15+1)</f>
        <v>0.16800000000000001</v>
      </c>
      <c r="G14" s="26"/>
      <c r="H14" s="26"/>
      <c r="I14" s="26"/>
      <c r="J14" s="26"/>
      <c r="K14" s="26">
        <f>($I$7+$I$8+$I$10+$I$11+$I$9+500)*1.2%*($C$8)*C9</f>
        <v>6</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3">
      <c r="B16" s="34" t="s">
        <v>148</v>
      </c>
      <c r="C16" s="39">
        <v>1</v>
      </c>
      <c r="D16" s="206" t="s">
        <v>149</v>
      </c>
      <c r="E16" s="207"/>
      <c r="F16" s="26">
        <f>IF(AND(C19=F18,E25&gt;0),VLOOKUP(C17,CZ12:DA43,2,TRUE)*0.01+E25*0.007+0.006,IF(C19=F18,VLOOKUP(C17,CZ12:DA43,2,TRUE)*0.01,VLOOKUP(C17,CZ12:DB43,3,TRUE)*0.01))</f>
        <v>0.16800000000000001</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3">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83.702039999999997</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16</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3">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4">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3">
      <c r="B25" s="57" t="s">
        <v>261</v>
      </c>
      <c r="C25" s="57">
        <v>1</v>
      </c>
      <c r="D25" s="57">
        <v>0</v>
      </c>
      <c r="E25" s="57">
        <v>0</v>
      </c>
      <c r="F25" s="58">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3">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370.72618239809862</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5">
      <c r="C27" s="60"/>
      <c r="D27" s="60" t="s">
        <v>182</v>
      </c>
      <c r="E27" s="60"/>
      <c r="G27" s="26"/>
      <c r="H27" s="26"/>
      <c r="I27" s="26"/>
      <c r="J27" s="26"/>
      <c r="K27" s="26"/>
      <c r="L27" s="26"/>
      <c r="M27" s="26"/>
      <c r="N27" s="26"/>
      <c r="O27" s="26"/>
      <c r="P27" s="26"/>
      <c r="Q27" s="26"/>
      <c r="R27" s="26">
        <f>SUM(R10:R26)</f>
        <v>8258.5172972512592</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4">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3">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3">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3">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3">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3">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3">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3">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3">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3">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3">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16</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440</v>
      </c>
      <c r="S70" s="26">
        <f>VLOOKUP(S69,S72:S88,1,1)</f>
        <v>12600.341163627232</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f>IF(OR($C$5=$CB$16,$C$5=$CC$16),S72*1.05,S72)</f>
        <v>7759.5079252338364</v>
      </c>
      <c r="S72" s="26">
        <f>VLOOKUP(INT(W18),ofek4,1+2,FALSE)</f>
        <v>7759.5079252338364</v>
      </c>
      <c r="T72" s="26">
        <f>S72*0.75</f>
        <v>5819.6309439253773</v>
      </c>
      <c r="U72" s="26">
        <f t="shared" ref="U72:U88" si="5">T72*$U$70</f>
        <v>5304.8583985959303</v>
      </c>
      <c r="V72" s="26">
        <f t="shared" ref="V72:V88" si="6">U72*$S$64</f>
        <v>4615.1207096104872</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f>R72*1.0375</f>
        <v>8050.4894724301057</v>
      </c>
      <c r="S73" s="26">
        <f>S72*1.0375</f>
        <v>8050.4894724301057</v>
      </c>
      <c r="T73" s="26">
        <f t="shared" ref="T73:T88" si="7">S73*0.75</f>
        <v>6037.8671043225795</v>
      </c>
      <c r="U73" s="26">
        <f t="shared" si="5"/>
        <v>5503.7905885432783</v>
      </c>
      <c r="V73" s="26">
        <f t="shared" si="6"/>
        <v>4788.1877362208816</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448</v>
      </c>
      <c r="J74" s="26"/>
      <c r="K74" s="26"/>
      <c r="L74" s="26"/>
      <c r="M74" s="26"/>
      <c r="N74" s="26"/>
      <c r="O74" s="26">
        <v>543</v>
      </c>
      <c r="P74" s="26"/>
      <c r="Q74" s="26"/>
      <c r="R74" s="26">
        <f>IF(OR($C$5=$CB$16,$C$5=$CC$16),S74*1.05,S74)</f>
        <v>8341.4710196263732</v>
      </c>
      <c r="S74" s="26">
        <f>VLOOKUP(INT(W18),ofek4,2+2,FALSE)</f>
        <v>8341.4710196263732</v>
      </c>
      <c r="T74" s="26">
        <f t="shared" si="7"/>
        <v>6256.1032647197799</v>
      </c>
      <c r="U74" s="26">
        <f t="shared" si="5"/>
        <v>5702.7227784906245</v>
      </c>
      <c r="V74" s="26">
        <f t="shared" si="6"/>
        <v>4961.2547628312732</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1</v>
      </c>
      <c r="J75" s="26"/>
      <c r="K75" s="26">
        <f>D25*0.1</f>
        <v>0</v>
      </c>
      <c r="L75" s="26">
        <f>E25*1</f>
        <v>0</v>
      </c>
      <c r="M75" s="26"/>
      <c r="N75" s="26"/>
      <c r="O75" s="26">
        <v>543</v>
      </c>
      <c r="P75" s="26"/>
      <c r="Q75" s="26"/>
      <c r="R75" s="26">
        <f>R74*1.0375</f>
        <v>8654.2761828623625</v>
      </c>
      <c r="S75" s="26">
        <f>S74*1.0375</f>
        <v>8654.2761828623625</v>
      </c>
      <c r="T75" s="26">
        <f t="shared" si="7"/>
        <v>6490.7071371467719</v>
      </c>
      <c r="U75" s="26">
        <f t="shared" si="5"/>
        <v>5916.5748826840227</v>
      </c>
      <c r="V75" s="26">
        <f t="shared" si="6"/>
        <v>5147.3018164374462</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f>IF(OR($C$5=$CB$16,$C$5=$CC$16),S76*1.05,S76)</f>
        <v>8967.08134609835</v>
      </c>
      <c r="S76" s="26">
        <f>VLOOKUP(INT(W18),ofek4,3+2,FALSE)</f>
        <v>8967.08134609835</v>
      </c>
      <c r="T76" s="26">
        <f t="shared" si="7"/>
        <v>6725.3110095737629</v>
      </c>
      <c r="U76" s="26">
        <f t="shared" si="5"/>
        <v>6130.4269868774209</v>
      </c>
      <c r="V76" s="26">
        <f t="shared" si="6"/>
        <v>5333.3488700436183</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1</v>
      </c>
      <c r="L77" s="26"/>
      <c r="M77" s="26"/>
      <c r="N77" s="26"/>
      <c r="O77" s="26">
        <v>543</v>
      </c>
      <c r="P77" s="26"/>
      <c r="Q77" s="26"/>
      <c r="R77" s="26">
        <f>R76*1.0375</f>
        <v>9303.3468965770389</v>
      </c>
      <c r="S77" s="26">
        <f>S76*1.0375</f>
        <v>9303.3468965770389</v>
      </c>
      <c r="T77" s="26">
        <f t="shared" si="7"/>
        <v>6977.5101724327797</v>
      </c>
      <c r="U77" s="26">
        <f t="shared" si="5"/>
        <v>6360.3179988853244</v>
      </c>
      <c r="V77" s="26">
        <f t="shared" si="6"/>
        <v>5533.3494526702543</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f>IF(OR($C$5=$CB$16,$C$5=$CC$16),S78*1.05,S78)</f>
        <v>9639.6124470557261</v>
      </c>
      <c r="S78" s="26">
        <f>VLOOKUP(INT(W18),ofek4,4+2,FALSE)</f>
        <v>9639.6124470557261</v>
      </c>
      <c r="T78" s="26">
        <f t="shared" si="7"/>
        <v>7229.7093352917946</v>
      </c>
      <c r="U78" s="26">
        <f t="shared" si="5"/>
        <v>6590.2090108932262</v>
      </c>
      <c r="V78" s="26">
        <f t="shared" si="6"/>
        <v>5733.3500352968886</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f>R78*1.0375</f>
        <v>10001.097913820317</v>
      </c>
      <c r="S79" s="26">
        <f>S78*1.0375</f>
        <v>10001.097913820317</v>
      </c>
      <c r="T79" s="26">
        <f t="shared" si="7"/>
        <v>7500.8234353652369</v>
      </c>
      <c r="U79" s="26">
        <f t="shared" si="5"/>
        <v>6837.3418488017223</v>
      </c>
      <c r="V79" s="26">
        <f t="shared" si="6"/>
        <v>5948.3506616205223</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453</v>
      </c>
      <c r="N80" s="26"/>
      <c r="O80" s="26">
        <v>543</v>
      </c>
      <c r="P80" s="26"/>
      <c r="Q80" s="26"/>
      <c r="R80" s="26">
        <f>IF(OR($C$5=$CB$16,$C$5=$CC$16),S80*1.05,S80)</f>
        <v>10362.583380584905</v>
      </c>
      <c r="S80" s="26">
        <f>VLOOKUP(INT(W18),ofek4,5+2,FALSE)</f>
        <v>10362.583380584905</v>
      </c>
      <c r="T80" s="26">
        <f t="shared" si="7"/>
        <v>7771.9375354386793</v>
      </c>
      <c r="U80" s="26">
        <f t="shared" si="5"/>
        <v>7084.4746867102185</v>
      </c>
      <c r="V80" s="26">
        <f t="shared" si="6"/>
        <v>6163.351287944156</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278</v>
      </c>
      <c r="N81" s="26" t="str">
        <f>W18&amp;"  שנות הוראה  "</f>
        <v xml:space="preserve">16  שנות הוראה  </v>
      </c>
      <c r="O81" s="26">
        <v>543</v>
      </c>
      <c r="P81" s="26"/>
      <c r="Q81" s="26"/>
      <c r="R81" s="26">
        <f>R80*1.0375</f>
        <v>10751.18025735684</v>
      </c>
      <c r="S81" s="26">
        <f>S80*1.0375</f>
        <v>10751.18025735684</v>
      </c>
      <c r="T81" s="26">
        <f t="shared" si="7"/>
        <v>8063.3851930176297</v>
      </c>
      <c r="U81" s="26">
        <f t="shared" si="5"/>
        <v>7350.1424874618515</v>
      </c>
      <c r="V81" s="26">
        <f t="shared" si="6"/>
        <v>6394.4769612420614</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f t="shared" ref="N82:N98" si="8">IF($C$5=$CB$16,R72*1.05,IF($C$5=$CE$16,T72,IF($C$5=$CF$16,U72,IF(OR($C$5=$CC$16,$C$5=$CD$16),S72,U72*$S$64))))</f>
        <v>7759.5079252338364</v>
      </c>
      <c r="O82" s="26"/>
      <c r="P82" s="26"/>
      <c r="Q82" s="26"/>
      <c r="R82" s="26">
        <f>IF(OR($C$5=$CB$16,$C$5=$CC$16),S82*1.05,S82)</f>
        <v>11139.777134128773</v>
      </c>
      <c r="S82" s="26">
        <f>VLOOKUP(INT(W18),ofek4,6+2,FALSE)</f>
        <v>11139.777134128773</v>
      </c>
      <c r="T82" s="26">
        <f t="shared" si="7"/>
        <v>8354.8328505965801</v>
      </c>
      <c r="U82" s="26">
        <f t="shared" si="5"/>
        <v>7615.8102882134854</v>
      </c>
      <c r="V82" s="26">
        <f t="shared" si="6"/>
        <v>6625.6026345399678</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f t="shared" si="8"/>
        <v>8050.4894724301057</v>
      </c>
      <c r="O83" s="26"/>
      <c r="P83" s="26"/>
      <c r="Q83" s="26"/>
      <c r="R83" s="26">
        <f>R82*1.0375</f>
        <v>11557.518776658604</v>
      </c>
      <c r="S83" s="26">
        <f>S82*1.0425</f>
        <v>11613.217662329245</v>
      </c>
      <c r="T83" s="26">
        <f t="shared" si="7"/>
        <v>8709.9132467469335</v>
      </c>
      <c r="U83" s="26">
        <f t="shared" si="5"/>
        <v>7939.4822254625569</v>
      </c>
      <c r="V83" s="26">
        <f t="shared" si="6"/>
        <v>6907.1907465079148</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f t="shared" si="8"/>
        <v>8341.4710196263732</v>
      </c>
      <c r="O84" s="26"/>
      <c r="P84" s="26"/>
      <c r="Q84" s="26"/>
      <c r="R84" s="26">
        <f>IF(OR($C$5=$CB$16,$C$5=$CC$16),S84*1.05,S84)</f>
        <v>12086.658190529719</v>
      </c>
      <c r="S84" s="26">
        <f>VLOOKUP(INT(W18),ofek4,7+2,FALSE)</f>
        <v>12086.658190529719</v>
      </c>
      <c r="T84" s="26">
        <f>S84*0.75</f>
        <v>9064.9936428972887</v>
      </c>
      <c r="U84" s="26">
        <f t="shared" si="5"/>
        <v>8263.1541627116312</v>
      </c>
      <c r="V84" s="26">
        <f t="shared" si="6"/>
        <v>7188.7788584758646</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f t="shared" si="8"/>
        <v>8654.2761828623625</v>
      </c>
      <c r="O85" s="26" t="s">
        <v>9</v>
      </c>
      <c r="P85" s="26" t="s">
        <v>12</v>
      </c>
      <c r="Q85" s="26" t="s">
        <v>13</v>
      </c>
      <c r="R85" s="26">
        <f>R84*1.0375</f>
        <v>12539.907872674585</v>
      </c>
      <c r="S85" s="26">
        <f>S84*1.0425</f>
        <v>12600.341163627232</v>
      </c>
      <c r="T85" s="26">
        <f t="shared" si="7"/>
        <v>9450.2558727204232</v>
      </c>
      <c r="U85" s="26">
        <f t="shared" si="5"/>
        <v>8614.3382146268741</v>
      </c>
      <c r="V85" s="26">
        <f t="shared" si="6"/>
        <v>7494.301959961088</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f t="shared" si="8"/>
        <v>8967.08134609835</v>
      </c>
      <c r="O86" s="26">
        <f t="shared" ref="O86:O102" si="9">N120*0.75</f>
        <v>4725.0025781249997</v>
      </c>
      <c r="P86" s="26">
        <f t="shared" ref="P86:P102" si="10">O86*$U$70</f>
        <v>4307.0548375782419</v>
      </c>
      <c r="Q86" s="26">
        <f t="shared" ref="Q86:Q102" si="11">P86*$S$64</f>
        <v>3747.0515675963188</v>
      </c>
      <c r="R86" s="26">
        <f>IF(OR($C$5=$CB$16,$C$5=$CC$16),S86*1.05,S86)</f>
        <v>13114.024136724745</v>
      </c>
      <c r="S86" s="26">
        <f>VLOOKUP(INT(W18),ofek4,8+2,FALSE)</f>
        <v>13114.024136724745</v>
      </c>
      <c r="T86" s="26">
        <f t="shared" si="7"/>
        <v>9835.5181025435595</v>
      </c>
      <c r="U86" s="26">
        <f t="shared" si="5"/>
        <v>8965.5222665421206</v>
      </c>
      <c r="V86" s="26">
        <f t="shared" si="6"/>
        <v>7799.8250614463141</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59</v>
      </c>
      <c r="B87" s="26"/>
      <c r="C87" s="26"/>
      <c r="D87" s="26"/>
      <c r="E87" s="26"/>
      <c r="F87" s="26"/>
      <c r="G87" s="26"/>
      <c r="H87" s="26"/>
      <c r="I87" s="26"/>
      <c r="J87" s="26"/>
      <c r="K87" s="26"/>
      <c r="L87" s="26"/>
      <c r="M87" s="26">
        <v>3.5</v>
      </c>
      <c r="N87" s="26">
        <f t="shared" si="8"/>
        <v>9303.3468965770389</v>
      </c>
      <c r="O87" s="26">
        <f t="shared" si="9"/>
        <v>4902.1901748046876</v>
      </c>
      <c r="P87" s="26">
        <f t="shared" si="10"/>
        <v>4468.5693939874263</v>
      </c>
      <c r="Q87" s="26">
        <f t="shared" si="11"/>
        <v>3887.5660013811812</v>
      </c>
      <c r="R87" s="26">
        <f>R86*1.0375</f>
        <v>13605.800041851924</v>
      </c>
      <c r="S87" s="26">
        <f>S86*1.0425</f>
        <v>13671.370162535546</v>
      </c>
      <c r="T87" s="26">
        <f t="shared" si="7"/>
        <v>10253.52762190166</v>
      </c>
      <c r="U87" s="26">
        <f t="shared" si="5"/>
        <v>9346.5569628701596</v>
      </c>
      <c r="V87" s="26">
        <f t="shared" si="6"/>
        <v>8131.3176265577813</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f t="shared" si="8"/>
        <v>9639.6124470557261</v>
      </c>
      <c r="O88" s="26">
        <f t="shared" si="9"/>
        <v>5079.3777714843745</v>
      </c>
      <c r="P88" s="26">
        <f t="shared" si="10"/>
        <v>4630.0839503966099</v>
      </c>
      <c r="Q88" s="26">
        <f t="shared" si="11"/>
        <v>4028.0804351660427</v>
      </c>
      <c r="R88" s="26">
        <f>IF(OR($C$5=$CB$16,$C$5=$CC$16),S88*1.05,S88)</f>
        <v>14228.716188346349</v>
      </c>
      <c r="S88" s="26">
        <f>VLOOKUP(INT(W18),ofek4,9+2,FALSE)</f>
        <v>14228.716188346349</v>
      </c>
      <c r="T88" s="26">
        <f t="shared" si="7"/>
        <v>10671.537141259761</v>
      </c>
      <c r="U88" s="26">
        <f t="shared" si="5"/>
        <v>9727.5916591982004</v>
      </c>
      <c r="V88" s="26">
        <f t="shared" si="6"/>
        <v>8462.8101916692503</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f t="shared" si="8"/>
        <v>10001.097913820317</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f t="shared" si="8"/>
        <v>10362.583380584905</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f t="shared" si="8"/>
        <v>10751.18025735684</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f t="shared" si="8"/>
        <v>11139.777134128773</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f t="shared" si="8"/>
        <v>11613.217662329245</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f t="shared" si="8"/>
        <v>12086.658190529719</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f t="shared" si="8"/>
        <v>12600.341163627232</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f t="shared" si="8"/>
        <v>13114.024136724745</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f t="shared" si="8"/>
        <v>13671.370162535546</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f t="shared" si="8"/>
        <v>14228.716188346349</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487</v>
      </c>
      <c r="C144" s="26">
        <v>0.27</v>
      </c>
      <c r="D144" s="26">
        <v>0.37</v>
      </c>
      <c r="E144" s="26">
        <f>C144+12.5%</f>
        <v>0.39500000000000002</v>
      </c>
      <c r="F144" s="26">
        <f>IF(C14&gt;0,30*C9-3,30*C9)</f>
        <v>30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71</v>
      </c>
      <c r="C169" s="26" t="s">
        <v>509</v>
      </c>
      <c r="D169" s="26"/>
      <c r="E169" s="26"/>
      <c r="F169" s="26"/>
      <c r="G169" s="26">
        <v>8.5</v>
      </c>
      <c r="H169" s="26"/>
      <c r="I169" s="26"/>
      <c r="J169" s="26"/>
      <c r="K169" s="26">
        <v>7</v>
      </c>
      <c r="L169" s="26"/>
      <c r="M169" s="26" t="str">
        <f t="shared" si="14"/>
        <v xml:space="preserve">16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510</v>
      </c>
      <c r="D170" s="26"/>
      <c r="E170" s="26"/>
      <c r="F170" s="26"/>
      <c r="G170" s="26">
        <v>9</v>
      </c>
      <c r="H170" s="26" t="s">
        <v>59</v>
      </c>
      <c r="I170" s="26"/>
      <c r="J170" s="26"/>
      <c r="K170" s="26">
        <v>7.5</v>
      </c>
      <c r="L170" s="26"/>
      <c r="M170" s="26">
        <f t="shared" si="14"/>
        <v>7759.5079252338364</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511</v>
      </c>
      <c r="D171" s="26"/>
      <c r="E171" s="26"/>
      <c r="F171" s="26"/>
      <c r="G171" s="26"/>
      <c r="H171" s="26"/>
      <c r="I171" s="26"/>
      <c r="J171" s="26"/>
      <c r="K171" s="26">
        <v>8</v>
      </c>
      <c r="L171" s="26"/>
      <c r="M171" s="26">
        <f t="shared" si="14"/>
        <v>8050.4894724301057</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512</v>
      </c>
      <c r="C172" s="26">
        <v>0</v>
      </c>
      <c r="D172" s="26"/>
      <c r="E172" s="26"/>
      <c r="F172" s="26"/>
      <c r="G172" s="26"/>
      <c r="H172" s="26"/>
      <c r="I172" s="26"/>
      <c r="J172" s="26"/>
      <c r="K172" s="26">
        <v>8.5</v>
      </c>
      <c r="L172" s="26"/>
      <c r="M172" s="26">
        <f t="shared" si="14"/>
        <v>8341.4710196263732</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59</v>
      </c>
      <c r="C173" s="26"/>
      <c r="D173" s="26"/>
      <c r="E173" s="26"/>
      <c r="F173" s="26" t="s">
        <v>198</v>
      </c>
      <c r="G173" s="26"/>
      <c r="H173" s="26" t="s">
        <v>513</v>
      </c>
      <c r="I173" s="26">
        <f>DATE(YEAR(J4),MONTH(J4)-MONTH(J4)+1,DAY(J4)-DAY(J4)+1)</f>
        <v>1</v>
      </c>
      <c r="J173" s="26"/>
      <c r="K173" s="26">
        <v>9</v>
      </c>
      <c r="L173" s="26"/>
      <c r="M173" s="26">
        <f t="shared" si="14"/>
        <v>8654.2761828623625</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f t="shared" si="14"/>
        <v>8967.08134609835</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9303.3468965770389</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515</v>
      </c>
      <c r="D176" s="26"/>
      <c r="E176" s="26"/>
      <c r="F176" s="26"/>
      <c r="G176" s="26"/>
      <c r="H176" s="26"/>
      <c r="I176" s="26"/>
      <c r="J176" s="26"/>
      <c r="K176" s="26"/>
      <c r="L176" s="26"/>
      <c r="M176" s="26">
        <f t="shared" si="14"/>
        <v>9639.6124470557261</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516</v>
      </c>
      <c r="D177" s="26" t="s">
        <v>59</v>
      </c>
      <c r="E177" s="26"/>
      <c r="F177" s="26"/>
      <c r="G177" s="26" t="str">
        <f>AB32</f>
        <v>תקציבית</v>
      </c>
      <c r="H177" s="26"/>
      <c r="I177" s="26" t="e">
        <f>F205</f>
        <v>#REF!</v>
      </c>
      <c r="J177" s="26"/>
      <c r="K177" s="26"/>
      <c r="L177" s="26"/>
      <c r="M177" s="26">
        <f t="shared" si="14"/>
        <v>10001.097913820317</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517</v>
      </c>
      <c r="D178" s="26" t="s">
        <v>518</v>
      </c>
      <c r="E178" s="26"/>
      <c r="F178" s="26" t="s">
        <v>519</v>
      </c>
      <c r="G178" s="26">
        <f>67</f>
        <v>67</v>
      </c>
      <c r="H178" s="26"/>
      <c r="I178" s="26"/>
      <c r="J178" s="26"/>
      <c r="K178" s="26"/>
      <c r="L178" s="26"/>
      <c r="M178" s="26">
        <f t="shared" si="14"/>
        <v>10362.583380584905</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477</v>
      </c>
      <c r="D179" s="26" t="s">
        <v>520</v>
      </c>
      <c r="E179" s="26"/>
      <c r="F179" s="26" t="s">
        <v>521</v>
      </c>
      <c r="G179" s="26" t="e">
        <f>#REF!</f>
        <v>#REF!</v>
      </c>
      <c r="H179" s="26"/>
      <c r="I179" s="26" t="s">
        <v>59</v>
      </c>
      <c r="J179" s="26"/>
      <c r="K179" s="26"/>
      <c r="L179" s="26"/>
      <c r="M179" s="26">
        <f t="shared" si="14"/>
        <v>10751.18025735684</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522</v>
      </c>
      <c r="D180" s="26" t="s">
        <v>476</v>
      </c>
      <c r="E180" s="26"/>
      <c r="F180" s="26" t="s">
        <v>523</v>
      </c>
      <c r="G180" s="26">
        <f>G202</f>
        <v>52.87</v>
      </c>
      <c r="H180" s="26"/>
      <c r="I180" s="26" t="s">
        <v>59</v>
      </c>
      <c r="J180" s="26"/>
      <c r="K180" s="26"/>
      <c r="L180" s="26"/>
      <c r="M180" s="26">
        <f t="shared" si="14"/>
        <v>11139.777134128773</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524</v>
      </c>
      <c r="D181" s="26" t="s">
        <v>525</v>
      </c>
      <c r="E181" s="26"/>
      <c r="F181" s="26"/>
      <c r="G181" s="26" t="s">
        <v>526</v>
      </c>
      <c r="H181" s="26"/>
      <c r="I181" s="26"/>
      <c r="J181" s="26"/>
      <c r="K181" s="26"/>
      <c r="L181" s="26"/>
      <c r="M181" s="26">
        <f t="shared" si="14"/>
        <v>11613.217662329245</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12086.658190529719</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529</v>
      </c>
      <c r="D183" s="26" t="s">
        <v>479</v>
      </c>
      <c r="E183" s="26"/>
      <c r="F183" s="26" t="e">
        <f>#REF!/#REF!*F187</f>
        <v>#REF!</v>
      </c>
      <c r="G183" s="26" t="s">
        <v>530</v>
      </c>
      <c r="H183" s="26"/>
      <c r="I183" s="26"/>
      <c r="J183" s="26" t="s">
        <v>59</v>
      </c>
      <c r="K183" s="26"/>
      <c r="L183" s="26"/>
      <c r="M183" s="26">
        <f t="shared" si="14"/>
        <v>12600.341163627232</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531</v>
      </c>
      <c r="D184" s="26"/>
      <c r="E184" s="26"/>
      <c r="F184" s="26" t="e">
        <f>#REF!/#REF!*F187</f>
        <v>#REF!</v>
      </c>
      <c r="G184" s="26" t="s">
        <v>532</v>
      </c>
      <c r="H184" s="26"/>
      <c r="I184" s="26"/>
      <c r="J184" s="26"/>
      <c r="K184" s="26"/>
      <c r="L184" s="26"/>
      <c r="M184" s="26">
        <f t="shared" si="14"/>
        <v>13114.024136724745</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533</v>
      </c>
      <c r="E185" s="26"/>
      <c r="F185" s="26" t="e">
        <f>#REF!/#REF!*F187</f>
        <v>#REF!</v>
      </c>
      <c r="G185" s="26" t="s">
        <v>534</v>
      </c>
      <c r="H185" s="26"/>
      <c r="I185" s="26"/>
      <c r="J185" s="26"/>
      <c r="K185" s="26"/>
      <c r="L185" s="26"/>
      <c r="M185" s="26">
        <f t="shared" si="14"/>
        <v>13671.370162535546</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535</v>
      </c>
      <c r="C186" s="26" t="str">
        <f>C5</f>
        <v>ב"א</v>
      </c>
      <c r="D186" s="26"/>
      <c r="E186" s="26"/>
      <c r="F186" s="26" t="e">
        <f>#REF!/#REF!*F187</f>
        <v>#REF!</v>
      </c>
      <c r="G186" s="26" t="s">
        <v>536</v>
      </c>
      <c r="H186" s="26"/>
      <c r="I186" s="26"/>
      <c r="J186" s="26"/>
      <c r="K186" s="26"/>
      <c r="L186" s="26"/>
      <c r="M186" s="26">
        <f t="shared" si="14"/>
        <v>14228.716188346349</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559</v>
      </c>
      <c r="D207" s="26"/>
      <c r="E207" s="26"/>
      <c r="F207" s="26">
        <v>0</v>
      </c>
      <c r="G207" s="26"/>
      <c r="H207" s="26"/>
      <c r="I207" s="26">
        <f t="shared" ref="I207:I223" si="16">L207</f>
        <v>1</v>
      </c>
      <c r="J207" s="26">
        <f>M170*0.95</f>
        <v>7371.5325289721441</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59</v>
      </c>
      <c r="C208" s="26" t="s">
        <v>560</v>
      </c>
      <c r="D208" s="26"/>
      <c r="E208" s="26"/>
      <c r="F208" s="26">
        <v>0</v>
      </c>
      <c r="G208" s="26"/>
      <c r="H208" s="26"/>
      <c r="I208" s="26">
        <f t="shared" si="16"/>
        <v>1.5</v>
      </c>
      <c r="J208" s="26">
        <f t="shared" ref="J208:J223" si="17">M171*0.95</f>
        <v>7647.9649988086003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f t="shared" si="17"/>
        <v>7924.3974686450538</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f t="shared" si="17"/>
        <v>8221.5623737192436</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59</v>
      </c>
      <c r="H211" s="26"/>
      <c r="I211" s="26">
        <f t="shared" si="16"/>
        <v>3</v>
      </c>
      <c r="J211" s="26">
        <f t="shared" si="17"/>
        <v>8518.7272787934326</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f t="shared" si="17"/>
        <v>8838.179551748186</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f t="shared" si="17"/>
        <v>9157.6318247029394</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545</v>
      </c>
      <c r="C214" s="26"/>
      <c r="D214" s="26"/>
      <c r="E214" s="26"/>
      <c r="F214" s="26" t="e">
        <f>SUM(F205:F208)*BG68</f>
        <v>#REF!</v>
      </c>
      <c r="G214" s="26"/>
      <c r="H214" s="26"/>
      <c r="I214" s="26">
        <f t="shared" si="16"/>
        <v>4.5</v>
      </c>
      <c r="J214" s="26">
        <f t="shared" si="17"/>
        <v>9501.0430181292995</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59</v>
      </c>
      <c r="H215" s="26"/>
      <c r="I215" s="26">
        <f t="shared" si="16"/>
        <v>5</v>
      </c>
      <c r="J215" s="26">
        <f t="shared" si="17"/>
        <v>9844.4542115556596</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f t="shared" si="17"/>
        <v>10213.621244488997</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f t="shared" si="17"/>
        <v>10582.788277422334</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f t="shared" si="17"/>
        <v>11032.556779212782</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f t="shared" si="17"/>
        <v>11482.325281003232</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561</v>
      </c>
      <c r="H220" s="26"/>
      <c r="I220" s="26">
        <f t="shared" si="16"/>
        <v>7.5</v>
      </c>
      <c r="J220" s="26">
        <f t="shared" si="17"/>
        <v>11970.32410544587</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562</v>
      </c>
      <c r="H221" s="26"/>
      <c r="I221" s="26">
        <f t="shared" si="16"/>
        <v>8</v>
      </c>
      <c r="J221" s="26">
        <f t="shared" si="17"/>
        <v>12458.322929888507</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f t="shared" si="17"/>
        <v>12987.801654408768</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f t="shared" si="17"/>
        <v>13517.28037892903</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65.78</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-5.7800000000000011</v>
      </c>
      <c r="P711" s="26" t="s">
        <v>96</v>
      </c>
      <c r="Q711" s="26">
        <f ca="1">Q710+O711</f>
        <v>-5.4200000000000008</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27.22</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54</v>
      </c>
      <c r="N738" s="26">
        <f ca="1">ROUND((I775-AT720)/365.25,2)</f>
        <v>13.27</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575</v>
      </c>
      <c r="I775" s="26">
        <f ca="1">TODAY()</f>
        <v>45288</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-0.30984000000000012</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559</v>
      </c>
      <c r="D919" s="107"/>
      <c r="E919" s="131"/>
      <c r="G919" s="26">
        <f ca="1">N738</f>
        <v>13.27</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7" stopIfTrue="1">
      <formula>#REF!=0</formula>
    </cfRule>
    <cfRule type="expression" dxfId="84" priority="48" stopIfTrue="1">
      <formula>#REF!=0</formula>
    </cfRule>
  </conditionalFormatting>
  <conditionalFormatting sqref="C905">
    <cfRule type="expression" dxfId="83" priority="43" stopIfTrue="1">
      <formula>$AF$707=AC754</formula>
    </cfRule>
  </conditionalFormatting>
  <conditionalFormatting sqref="C24:E24 C28:E28">
    <cfRule type="expression" dxfId="82" priority="8" stopIfTrue="1">
      <formula>$C$10="א-ו"</formula>
    </cfRule>
    <cfRule type="expression" dxfId="81" priority="6" stopIfTrue="1">
      <formula>$C$10="חטיבת ביניים"</formula>
    </cfRule>
    <cfRule type="expression" dxfId="80" priority="7" stopIfTrue="1">
      <formula>$C$10="ז-ח"</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5" stopIfTrue="1">
      <formula>$C$59=0</formula>
    </cfRule>
    <cfRule type="expression" dxfId="56" priority="34" stopIfTrue="1">
      <formula>$C$59=1</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6" stopIfTrue="1">
      <formula>$Q$2=$M81</formula>
    </cfRule>
    <cfRule type="expression" dxfId="41" priority="25" stopIfTrue="1">
      <formula>$CC$12&lt;&gt;$C$5</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R779 E901">
    <cfRule type="expression" dxfId="20" priority="93" stopIfTrue="1">
      <formula>$G$906&lt;&gt;0</formula>
    </cfRule>
  </conditionalFormatting>
  <conditionalFormatting sqref="S27:S34">
    <cfRule type="expression" dxfId="19" priority="11" stopIfTrue="1">
      <formula>$C$39=0</formula>
    </cfRule>
    <cfRule type="expression" dxfId="18" priority="9" stopIfTrue="1">
      <formula>$C$9=1</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2" stopIfTrue="1">
      <formula>$C$39=0</formula>
    </cfRule>
    <cfRule type="expression" dxfId="13" priority="21" stopIfTrue="1">
      <formula>$Q$2=$M94</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מרדכי אורלנסקי</cp:lastModifiedBy>
  <cp:lastPrinted>2023-09-05T13:48:47Z</cp:lastPrinted>
  <dcterms:created xsi:type="dcterms:W3CDTF">2023-09-05T11:53:22Z</dcterms:created>
  <dcterms:modified xsi:type="dcterms:W3CDTF">2023-12-28T09:37:42Z</dcterms:modified>
</cp:coreProperties>
</file>