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אבי\Downloads\"/>
    </mc:Choice>
  </mc:AlternateContent>
  <xr:revisionPtr revIDLastSave="0" documentId="13_ncr:1_{41FF8BA8-BA65-437F-9A38-652F25BCC389}" xr6:coauthVersionLast="47" xr6:coauthVersionMax="47" xr10:uidLastSave="{00000000-0000-0000-0000-000000000000}"/>
  <bookViews>
    <workbookView xWindow="-110" yWindow="-110" windowWidth="19420" windowHeight="10300"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4" l="1"/>
  <c r="F15" i="3"/>
  <c r="C950" i="3"/>
  <c r="G944" i="3"/>
  <c r="D943" i="3"/>
  <c r="D942" i="3"/>
  <c r="C942" i="3"/>
  <c r="D941" i="3"/>
  <c r="C941" i="3"/>
  <c r="D938" i="3"/>
  <c r="C938" i="3"/>
  <c r="D937" i="3"/>
  <c r="E936" i="3"/>
  <c r="D936" i="3"/>
  <c r="E935" i="3"/>
  <c r="E934" i="3"/>
  <c r="D934" i="3"/>
  <c r="C934" i="3"/>
  <c r="F929" i="3"/>
  <c r="F928" i="3"/>
  <c r="E928" i="3"/>
  <c r="F927" i="3"/>
  <c r="E917" i="3"/>
  <c r="F915" i="3"/>
  <c r="D914" i="3"/>
  <c r="B914" i="3"/>
  <c r="E913" i="3"/>
  <c r="C913" i="3"/>
  <c r="E912" i="3"/>
  <c r="E911" i="3"/>
  <c r="G910" i="3"/>
  <c r="E910" i="3"/>
  <c r="D910" i="3"/>
  <c r="B910" i="3"/>
  <c r="G909" i="3"/>
  <c r="G911" i="3" s="1"/>
  <c r="E909" i="3"/>
  <c r="D909" i="3"/>
  <c r="B909" i="3"/>
  <c r="G908" i="3"/>
  <c r="E908" i="3"/>
  <c r="D908" i="3"/>
  <c r="B908" i="3"/>
  <c r="G907" i="3"/>
  <c r="E907" i="3"/>
  <c r="B907" i="3"/>
  <c r="E906" i="3"/>
  <c r="B906" i="3"/>
  <c r="B911" i="3" s="1"/>
  <c r="G905" i="3"/>
  <c r="F905" i="3"/>
  <c r="G970" i="3" s="1"/>
  <c r="F904" i="3"/>
  <c r="F903" i="3"/>
  <c r="F902" i="3"/>
  <c r="C898" i="3"/>
  <c r="I890" i="3"/>
  <c r="H882" i="3"/>
  <c r="H878" i="3"/>
  <c r="H877" i="3"/>
  <c r="H867" i="3"/>
  <c r="N855" i="3"/>
  <c r="M855" i="3"/>
  <c r="N854" i="3"/>
  <c r="M854" i="3"/>
  <c r="N853" i="3"/>
  <c r="M853" i="3"/>
  <c r="L853" i="3"/>
  <c r="M852" i="3"/>
  <c r="N851" i="3"/>
  <c r="N850" i="3"/>
  <c r="N856" i="3" s="1"/>
  <c r="M850" i="3"/>
  <c r="Y827" i="3"/>
  <c r="Z827" i="3" s="1"/>
  <c r="Z825" i="3"/>
  <c r="Z824" i="3"/>
  <c r="Z823" i="3"/>
  <c r="X822" i="3"/>
  <c r="X819" i="3"/>
  <c r="Y817" i="3"/>
  <c r="Z817" i="3" s="1"/>
  <c r="Y815" i="3"/>
  <c r="Z815" i="3" s="1"/>
  <c r="BF814" i="3"/>
  <c r="BM723" i="3" s="1"/>
  <c r="BD814" i="3"/>
  <c r="BE814" i="3" s="1"/>
  <c r="Y814" i="3"/>
  <c r="BE812" i="3"/>
  <c r="X812" i="3"/>
  <c r="BE811" i="3"/>
  <c r="X811" i="3"/>
  <c r="BE808" i="3"/>
  <c r="BE809" i="3" s="1"/>
  <c r="BK723" i="3" s="1"/>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K789" i="3"/>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N766" i="3"/>
  <c r="BA760" i="3"/>
  <c r="AZ760" i="3"/>
  <c r="AB757" i="3"/>
  <c r="S757" i="3"/>
  <c r="N757" i="3"/>
  <c r="AG756" i="3"/>
  <c r="N756" i="3"/>
  <c r="AG755" i="3"/>
  <c r="N755" i="3"/>
  <c r="AE754" i="3"/>
  <c r="Z754" i="3"/>
  <c r="W753" i="3"/>
  <c r="N753" i="3"/>
  <c r="M753" i="3"/>
  <c r="W752" i="3"/>
  <c r="N752" i="3"/>
  <c r="AJ751" i="3"/>
  <c r="AJ752" i="3" s="1"/>
  <c r="N751" i="3"/>
  <c r="M751"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D939" i="3" s="1"/>
  <c r="BD722" i="3"/>
  <c r="BB722" i="3"/>
  <c r="AW722" i="3"/>
  <c r="P724" i="3" s="1"/>
  <c r="AT722" i="3"/>
  <c r="AM722" i="3"/>
  <c r="AA721" i="3"/>
  <c r="P721" i="3"/>
  <c r="O721" i="3" s="1"/>
  <c r="BO720" i="3"/>
  <c r="AN720" i="3"/>
  <c r="AM720" i="3"/>
  <c r="W719" i="3"/>
  <c r="O719" i="3"/>
  <c r="AQ718" i="3"/>
  <c r="AQ719" i="3" s="1"/>
  <c r="T718" i="3"/>
  <c r="T719" i="3" s="1"/>
  <c r="R718" i="3"/>
  <c r="AG717" i="3"/>
  <c r="Z717" i="3"/>
  <c r="R716" i="3"/>
  <c r="AP714" i="3"/>
  <c r="Y714" i="3"/>
  <c r="AP713" i="3"/>
  <c r="AP712" i="3"/>
  <c r="Q712" i="3"/>
  <c r="AE711" i="3"/>
  <c r="AP710" i="3"/>
  <c r="AP711" i="3" s="1"/>
  <c r="Q710" i="3"/>
  <c r="AP708" i="3"/>
  <c r="AP709" i="3" s="1"/>
  <c r="AP706" i="3"/>
  <c r="AP707" i="3" s="1"/>
  <c r="AP705" i="3"/>
  <c r="L776" i="3" s="1"/>
  <c r="K776" i="3" s="1"/>
  <c r="S704" i="3"/>
  <c r="T704" i="3" s="1"/>
  <c r="T705" i="3" s="1"/>
  <c r="D234" i="3"/>
  <c r="D231" i="3"/>
  <c r="D230" i="3"/>
  <c r="C230" i="3"/>
  <c r="D229" i="3"/>
  <c r="C229" i="3"/>
  <c r="S23" i="3" s="1"/>
  <c r="D228" i="3"/>
  <c r="C228" i="3"/>
  <c r="C227" i="3"/>
  <c r="D226" i="3"/>
  <c r="C226" i="3"/>
  <c r="D225" i="3"/>
  <c r="C225" i="3"/>
  <c r="D224" i="3"/>
  <c r="C224" i="3"/>
  <c r="L223" i="3"/>
  <c r="I223" i="3" s="1"/>
  <c r="L222" i="3"/>
  <c r="I222" i="3" s="1"/>
  <c r="D222" i="3"/>
  <c r="C222" i="3"/>
  <c r="L221" i="3"/>
  <c r="I221" i="3" s="1"/>
  <c r="L220" i="3"/>
  <c r="I220" i="3" s="1"/>
  <c r="L219" i="3"/>
  <c r="I219" i="3"/>
  <c r="L218" i="3"/>
  <c r="I218" i="3" s="1"/>
  <c r="L217" i="3"/>
  <c r="I217" i="3"/>
  <c r="L216" i="3"/>
  <c r="I216" i="3" s="1"/>
  <c r="L215" i="3"/>
  <c r="I215" i="3"/>
  <c r="L214" i="3"/>
  <c r="I214" i="3" s="1"/>
  <c r="L213" i="3"/>
  <c r="I213" i="3"/>
  <c r="L212" i="3"/>
  <c r="I212" i="3" s="1"/>
  <c r="F212" i="3"/>
  <c r="L211" i="3"/>
  <c r="I211" i="3"/>
  <c r="F211" i="3"/>
  <c r="L210" i="3"/>
  <c r="I210" i="3"/>
  <c r="F210" i="3"/>
  <c r="L209" i="3"/>
  <c r="I209" i="3" s="1"/>
  <c r="L208" i="3"/>
  <c r="I208" i="3"/>
  <c r="L207" i="3"/>
  <c r="I207" i="3" s="1"/>
  <c r="L206" i="3"/>
  <c r="L205" i="3"/>
  <c r="G204" i="3"/>
  <c r="F204" i="3"/>
  <c r="G203" i="3"/>
  <c r="G202" i="3"/>
  <c r="D202" i="3"/>
  <c r="B202" i="3"/>
  <c r="C201" i="3"/>
  <c r="D198" i="3"/>
  <c r="B198" i="3"/>
  <c r="D197" i="3"/>
  <c r="B197" i="3"/>
  <c r="D196" i="3"/>
  <c r="B196" i="3"/>
  <c r="B195" i="3"/>
  <c r="B194" i="3"/>
  <c r="B199" i="3" s="1"/>
  <c r="F193" i="3"/>
  <c r="H192" i="3"/>
  <c r="J175" i="3" s="1"/>
  <c r="G190" i="3"/>
  <c r="F189" i="3"/>
  <c r="F187" i="3"/>
  <c r="C186" i="3"/>
  <c r="F182" i="3"/>
  <c r="G180" i="3"/>
  <c r="G179" i="3"/>
  <c r="G178" i="3"/>
  <c r="G177"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R20" i="3" s="1"/>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Q92" i="3"/>
  <c r="P92" i="3"/>
  <c r="O92" i="3"/>
  <c r="P91" i="3"/>
  <c r="Q91" i="3" s="1"/>
  <c r="O91" i="3"/>
  <c r="O90" i="3"/>
  <c r="P90" i="3" s="1"/>
  <c r="Q90" i="3" s="1"/>
  <c r="P89" i="3"/>
  <c r="Q89" i="3" s="1"/>
  <c r="O89" i="3"/>
  <c r="P88" i="3"/>
  <c r="Q88" i="3" s="1"/>
  <c r="O88" i="3"/>
  <c r="P87" i="3"/>
  <c r="Q87" i="3" s="1"/>
  <c r="O87" i="3"/>
  <c r="O86" i="3"/>
  <c r="P86" i="3" s="1"/>
  <c r="Q86" i="3" s="1"/>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AJ44" i="3"/>
  <c r="AE44" i="3"/>
  <c r="P44" i="3"/>
  <c r="AZ42" i="3"/>
  <c r="AB42" i="3"/>
  <c r="BC24" i="3" s="1"/>
  <c r="N42" i="3"/>
  <c r="M42" i="3"/>
  <c r="AO41" i="3"/>
  <c r="AO42" i="3" s="1"/>
  <c r="AF41" i="3"/>
  <c r="AF42" i="3" s="1"/>
  <c r="BL40" i="3"/>
  <c r="AI40" i="3"/>
  <c r="P40" i="3"/>
  <c r="I40" i="3"/>
  <c r="I41" i="3" s="1"/>
  <c r="I42" i="3" s="1"/>
  <c r="I43" i="3" s="1"/>
  <c r="I44" i="3" s="1"/>
  <c r="I45" i="3" s="1"/>
  <c r="BL39" i="3"/>
  <c r="BL41" i="3" s="1"/>
  <c r="BL42" i="3" s="1"/>
  <c r="BJ39" i="3"/>
  <c r="AI39" i="3"/>
  <c r="AH39" i="3"/>
  <c r="AJ40" i="3" s="1"/>
  <c r="AE39" i="3"/>
  <c r="AE38" i="3" s="1"/>
  <c r="P39" i="3"/>
  <c r="Q39" i="3" s="1"/>
  <c r="O39" i="3"/>
  <c r="C39" i="3"/>
  <c r="X23" i="3" s="1"/>
  <c r="AG38" i="3"/>
  <c r="AI37" i="3"/>
  <c r="AH37" i="3"/>
  <c r="AJ36" i="3" s="1"/>
  <c r="X37" i="3"/>
  <c r="AA37" i="3" s="1"/>
  <c r="K37" i="3"/>
  <c r="AQ36" i="3"/>
  <c r="L36" i="3"/>
  <c r="I35" i="3"/>
  <c r="H35" i="3"/>
  <c r="AO34" i="3"/>
  <c r="AO35" i="3" s="1"/>
  <c r="I34" i="3"/>
  <c r="U33" i="3"/>
  <c r="T33" i="3"/>
  <c r="W33" i="3" s="1"/>
  <c r="T30" i="3" s="1"/>
  <c r="D135" i="3" s="1"/>
  <c r="BM32" i="3"/>
  <c r="BJ32" i="3"/>
  <c r="BA32" i="3"/>
  <c r="AG32" i="3"/>
  <c r="AE32" i="3"/>
  <c r="U32" i="3"/>
  <c r="V33" i="3" s="1"/>
  <c r="BJ31" i="3"/>
  <c r="BA31" i="3"/>
  <c r="AP31" i="3"/>
  <c r="AO31" i="3"/>
  <c r="S30" i="3"/>
  <c r="E30" i="3"/>
  <c r="D30" i="3"/>
  <c r="C30" i="3"/>
  <c r="AY29" i="3"/>
  <c r="AB29" i="3"/>
  <c r="S29" i="3"/>
  <c r="F29" i="3"/>
  <c r="AK28" i="3"/>
  <c r="AJ28" i="3"/>
  <c r="AJ30" i="3" s="1"/>
  <c r="Q28" i="3"/>
  <c r="P28" i="3"/>
  <c r="P29" i="3" s="1"/>
  <c r="BJ26" i="3"/>
  <c r="BC26" i="3"/>
  <c r="AF27" i="3" s="1"/>
  <c r="AR27" i="3" s="1"/>
  <c r="E26" i="3"/>
  <c r="D26" i="3"/>
  <c r="C26" i="3"/>
  <c r="DF25" i="3"/>
  <c r="BJ25" i="3"/>
  <c r="BC25" i="3"/>
  <c r="W25" i="3"/>
  <c r="T25" i="3"/>
  <c r="S25" i="3"/>
  <c r="Q25" i="3"/>
  <c r="P25" i="3"/>
  <c r="F25" i="3"/>
  <c r="C17" i="3" s="1"/>
  <c r="F16" i="3" s="1"/>
  <c r="BJ24" i="3"/>
  <c r="AX24" i="3"/>
  <c r="R24" i="3"/>
  <c r="O24" i="3"/>
  <c r="N24" i="3"/>
  <c r="BJ23" i="3"/>
  <c r="CS22" i="3"/>
  <c r="CS23" i="3" s="1"/>
  <c r="CS24" i="3" s="1"/>
  <c r="CS25" i="3" s="1"/>
  <c r="CS26" i="3" s="1"/>
  <c r="CS27" i="3" s="1"/>
  <c r="BJ22" i="3"/>
  <c r="BJ27" i="3" s="1"/>
  <c r="BB22" i="3"/>
  <c r="S22" i="3"/>
  <c r="O22" i="3"/>
  <c r="V21" i="3"/>
  <c r="S21" i="3"/>
  <c r="O21" i="3"/>
  <c r="BS20" i="3"/>
  <c r="BB20" i="3"/>
  <c r="D227" i="3" s="1"/>
  <c r="W20" i="3"/>
  <c r="S20" i="3"/>
  <c r="O20" i="3"/>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P15" i="3"/>
  <c r="S15" i="3" s="1"/>
  <c r="AL14" i="3"/>
  <c r="AE14" i="3"/>
  <c r="S14" i="3"/>
  <c r="R14" i="3"/>
  <c r="P14" i="3"/>
  <c r="K14" i="3"/>
  <c r="CT13" i="3"/>
  <c r="CT14" i="3" s="1"/>
  <c r="CT15" i="3" s="1"/>
  <c r="CT16" i="3" s="1"/>
  <c r="CT17" i="3" s="1"/>
  <c r="CT18" i="3" s="1"/>
  <c r="CT19" i="3" s="1"/>
  <c r="CT20" i="3" s="1"/>
  <c r="CT21" i="3" s="1"/>
  <c r="CT22" i="3" s="1"/>
  <c r="CT23" i="3" s="1"/>
  <c r="CT24" i="3" s="1"/>
  <c r="CT25" i="3" s="1"/>
  <c r="CT26" i="3" s="1"/>
  <c r="CT27" i="3" s="1"/>
  <c r="W13" i="3"/>
  <c r="S13" i="3"/>
  <c r="P13" i="3"/>
  <c r="S12" i="3"/>
  <c r="R12" i="3"/>
  <c r="P12" i="3"/>
  <c r="AD11" i="3"/>
  <c r="F213" i="3" s="1"/>
  <c r="S11" i="3"/>
  <c r="P11" i="3"/>
  <c r="V9" i="3"/>
  <c r="Q9" i="3"/>
  <c r="AJ8" i="3"/>
  <c r="P4" i="3" s="1"/>
  <c r="P6" i="3" s="1"/>
  <c r="T8" i="3"/>
  <c r="V7" i="3"/>
  <c r="T7" i="3"/>
  <c r="P106" i="3" s="1"/>
  <c r="N7" i="3"/>
  <c r="N10" i="3" s="1"/>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09" i="4" s="1"/>
  <c r="E910" i="4"/>
  <c r="D910" i="4"/>
  <c r="B910" i="4"/>
  <c r="G909" i="4"/>
  <c r="D909" i="4"/>
  <c r="B909" i="4"/>
  <c r="G908" i="4"/>
  <c r="G945" i="4" s="1"/>
  <c r="E908" i="4"/>
  <c r="D908" i="4"/>
  <c r="B908" i="4"/>
  <c r="G907" i="4"/>
  <c r="B907" i="4"/>
  <c r="E906" i="4"/>
  <c r="B906" i="4"/>
  <c r="B911" i="4" s="1"/>
  <c r="G905" i="4"/>
  <c r="F904" i="4"/>
  <c r="F903" i="4"/>
  <c r="F902" i="4"/>
  <c r="C898" i="4"/>
  <c r="H882" i="4"/>
  <c r="H878" i="4"/>
  <c r="H877" i="4"/>
  <c r="H867" i="4"/>
  <c r="N855" i="4"/>
  <c r="M855" i="4"/>
  <c r="N854" i="4"/>
  <c r="M854" i="4"/>
  <c r="N853" i="4"/>
  <c r="M853" i="4"/>
  <c r="L853" i="4"/>
  <c r="M852" i="4"/>
  <c r="N851" i="4"/>
  <c r="N850" i="4"/>
  <c r="N856" i="4" s="1"/>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N752" i="4" s="1"/>
  <c r="R788" i="4"/>
  <c r="K788" i="4"/>
  <c r="K787" i="4"/>
  <c r="K786" i="4"/>
  <c r="BA785" i="4"/>
  <c r="K785" i="4"/>
  <c r="BA784" i="4"/>
  <c r="L783" i="4"/>
  <c r="R782" i="4"/>
  <c r="I775" i="4"/>
  <c r="N738" i="4" s="1"/>
  <c r="G919" i="4" s="1"/>
  <c r="M768" i="4"/>
  <c r="AZ760" i="4"/>
  <c r="AB757" i="4"/>
  <c r="S757" i="4"/>
  <c r="N757" i="4"/>
  <c r="AG756" i="4"/>
  <c r="AG755" i="4"/>
  <c r="AE754" i="4"/>
  <c r="Z754" i="4"/>
  <c r="W753" i="4"/>
  <c r="N753" i="4"/>
  <c r="M753" i="4"/>
  <c r="W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6" i="4"/>
  <c r="Y727" i="4" s="1"/>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s="1"/>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s="1"/>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2" i="4" s="1"/>
  <c r="C186" i="4"/>
  <c r="F184" i="4"/>
  <c r="F183" i="4"/>
  <c r="G179" i="4"/>
  <c r="G178" i="4"/>
  <c r="G177" i="4"/>
  <c r="I173" i="4"/>
  <c r="M168" i="4"/>
  <c r="I167" i="4"/>
  <c r="I163" i="4"/>
  <c r="I162" i="4"/>
  <c r="I161" i="4"/>
  <c r="H160" i="4"/>
  <c r="H158" i="4"/>
  <c r="H157" i="4"/>
  <c r="H159" i="4" s="1"/>
  <c r="H156" i="4"/>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O102" i="4"/>
  <c r="P102" i="4" s="1"/>
  <c r="Q102" i="4" s="1"/>
  <c r="BJ101" i="4"/>
  <c r="O101" i="4"/>
  <c r="P101" i="4" s="1"/>
  <c r="Q101" i="4" s="1"/>
  <c r="O100" i="4"/>
  <c r="P100" i="4" s="1"/>
  <c r="Q100" i="4" s="1"/>
  <c r="O99" i="4"/>
  <c r="P99" i="4" s="1"/>
  <c r="Q99" i="4" s="1"/>
  <c r="BJ98" i="4"/>
  <c r="BJ99" i="4" s="1"/>
  <c r="BP20" i="4" s="1"/>
  <c r="BP26"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BE50" i="4"/>
  <c r="AB50" i="4"/>
  <c r="S108" i="4" s="1"/>
  <c r="P50" i="4"/>
  <c r="AB49" i="4"/>
  <c r="Z49" i="4"/>
  <c r="P49" i="4"/>
  <c r="AB48" i="4"/>
  <c r="P48" i="4"/>
  <c r="AG47" i="4"/>
  <c r="Z50" i="4" s="1"/>
  <c r="Z51" i="4" s="1"/>
  <c r="P47" i="4"/>
  <c r="BF46" i="4"/>
  <c r="AO46" i="4"/>
  <c r="AL46" i="4"/>
  <c r="P46" i="4"/>
  <c r="K46" i="4"/>
  <c r="K47" i="4" s="1"/>
  <c r="AL45" i="4"/>
  <c r="P45" i="4"/>
  <c r="AJ44" i="4"/>
  <c r="AE44" i="4"/>
  <c r="P44" i="4"/>
  <c r="AZ42" i="4"/>
  <c r="BA44" i="4" s="1"/>
  <c r="AF42" i="4"/>
  <c r="AB42" i="4"/>
  <c r="BC24" i="4" s="1"/>
  <c r="AG36" i="4" s="1"/>
  <c r="N42" i="4"/>
  <c r="M42" i="4"/>
  <c r="AO41" i="4"/>
  <c r="AO42" i="4" s="1"/>
  <c r="AF41" i="4"/>
  <c r="BL40" i="4"/>
  <c r="Q40" i="4"/>
  <c r="P40" i="4"/>
  <c r="I40" i="4"/>
  <c r="I41" i="4" s="1"/>
  <c r="I42" i="4" s="1"/>
  <c r="I43" i="4" s="1"/>
  <c r="I44" i="4" s="1"/>
  <c r="I45" i="4" s="1"/>
  <c r="BL39" i="4"/>
  <c r="BL41" i="4" s="1"/>
  <c r="BL42" i="4" s="1"/>
  <c r="AI39" i="4"/>
  <c r="AH39" i="4"/>
  <c r="AE39" i="4"/>
  <c r="AE38" i="4" s="1"/>
  <c r="Q39" i="4"/>
  <c r="P39" i="4"/>
  <c r="O39" i="4"/>
  <c r="R39" i="4" s="1"/>
  <c r="O36" i="4" s="1"/>
  <c r="AG38" i="4"/>
  <c r="AI37" i="4"/>
  <c r="AH37" i="4"/>
  <c r="AJ36" i="4" s="1"/>
  <c r="X37" i="4"/>
  <c r="AA37" i="4" s="1"/>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R24" i="4" s="1"/>
  <c r="P25" i="4"/>
  <c r="S25" i="4" s="1"/>
  <c r="N24" i="4"/>
  <c r="F25" i="4"/>
  <c r="BJ24" i="4"/>
  <c r="AX24" i="4"/>
  <c r="BJ23" i="4"/>
  <c r="S23" i="4"/>
  <c r="O22" i="4"/>
  <c r="CS22" i="4"/>
  <c r="CS23" i="4" s="1"/>
  <c r="BJ22" i="4"/>
  <c r="BJ27" i="4" s="1"/>
  <c r="BB22" i="4"/>
  <c r="S22" i="4"/>
  <c r="S21" i="4"/>
  <c r="O21" i="4"/>
  <c r="BS20" i="4"/>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AL14" i="4"/>
  <c r="AE14" i="4"/>
  <c r="I164" i="4" s="1"/>
  <c r="R14" i="4"/>
  <c r="P14" i="4"/>
  <c r="CT13" i="4"/>
  <c r="CT14" i="4" s="1"/>
  <c r="CT15" i="4" s="1"/>
  <c r="CT16" i="4" s="1"/>
  <c r="CT17" i="4" s="1"/>
  <c r="CT18" i="4" s="1"/>
  <c r="CT19" i="4" s="1"/>
  <c r="CT20" i="4" s="1"/>
  <c r="CT21" i="4" s="1"/>
  <c r="CT22" i="4" s="1"/>
  <c r="CT23" i="4" s="1"/>
  <c r="CT24" i="4" s="1"/>
  <c r="CT25" i="4" s="1"/>
  <c r="CT26" i="4" s="1"/>
  <c r="CT27" i="4" s="1"/>
  <c r="W13" i="4"/>
  <c r="S13" i="4"/>
  <c r="P13" i="4"/>
  <c r="S12" i="4"/>
  <c r="R12" i="4"/>
  <c r="P12" i="4"/>
  <c r="S14" i="4"/>
  <c r="AD11" i="4"/>
  <c r="F213" i="4" s="1"/>
  <c r="P11" i="4"/>
  <c r="Q9" i="4"/>
  <c r="AJ8" i="4"/>
  <c r="P4" i="4" s="1"/>
  <c r="P6" i="4" s="1"/>
  <c r="T8" i="4"/>
  <c r="S11" i="4"/>
  <c r="V7" i="4"/>
  <c r="V8" i="4" s="1"/>
  <c r="T7" i="4"/>
  <c r="P106" i="4" s="1"/>
  <c r="C7" i="4"/>
  <c r="G3" i="4"/>
  <c r="X1" i="4"/>
  <c r="Y1" i="4" s="1"/>
  <c r="Y2" i="4" s="1"/>
  <c r="S1" i="4"/>
  <c r="H167" i="4" s="1"/>
  <c r="B5" i="1"/>
  <c r="B4" i="1"/>
  <c r="AU44" i="1"/>
  <c r="AV44" i="1"/>
  <c r="AV45" i="1"/>
  <c r="C39" i="1"/>
  <c r="C40" i="1"/>
  <c r="R5" i="4" l="1"/>
  <c r="H193" i="4"/>
  <c r="F185" i="4"/>
  <c r="N756" i="4"/>
  <c r="E907" i="4"/>
  <c r="F26" i="3"/>
  <c r="J66" i="3" s="1"/>
  <c r="K66" i="3" s="1"/>
  <c r="C18" i="3" s="1"/>
  <c r="C37" i="3" s="1"/>
  <c r="V32" i="3"/>
  <c r="W32" i="3" s="1"/>
  <c r="T29" i="3" s="1"/>
  <c r="D134" i="3" s="1"/>
  <c r="R39" i="3"/>
  <c r="O36" i="3" s="1"/>
  <c r="Q40" i="3"/>
  <c r="R40" i="3" s="1"/>
  <c r="O37" i="3" s="1"/>
  <c r="AE750" i="3"/>
  <c r="AD750" i="3" s="1"/>
  <c r="V8" i="3"/>
  <c r="BA44" i="3"/>
  <c r="BJ39" i="4"/>
  <c r="F186" i="4"/>
  <c r="N8" i="3"/>
  <c r="N25" i="3" s="1"/>
  <c r="N758" i="3"/>
  <c r="C951" i="3"/>
  <c r="N758" i="4"/>
  <c r="F30" i="3"/>
  <c r="BF44" i="3"/>
  <c r="BA43" i="4"/>
  <c r="AF25" i="4" s="1"/>
  <c r="BD808" i="4"/>
  <c r="BD809" i="4" s="1"/>
  <c r="O7" i="3"/>
  <c r="O19" i="3" s="1"/>
  <c r="J797" i="3"/>
  <c r="BD808" i="3"/>
  <c r="BD809" i="3" s="1"/>
  <c r="K880" i="3"/>
  <c r="K77" i="3"/>
  <c r="G145" i="3"/>
  <c r="G142" i="3" s="1"/>
  <c r="F143" i="3"/>
  <c r="M49" i="3"/>
  <c r="BF20" i="4"/>
  <c r="BF26" i="4" s="1"/>
  <c r="BM20" i="3"/>
  <c r="BM26" i="3" s="1"/>
  <c r="I902" i="3"/>
  <c r="BN20" i="3"/>
  <c r="BU24" i="3"/>
  <c r="BU22" i="3"/>
  <c r="BU27" i="3" s="1"/>
  <c r="BU26" i="3"/>
  <c r="BL20" i="3"/>
  <c r="BL24" i="3" s="1"/>
  <c r="BJ20" i="3"/>
  <c r="BI19" i="3"/>
  <c r="BF20" i="3"/>
  <c r="BF25" i="3" s="1"/>
  <c r="BS21" i="3"/>
  <c r="BM24" i="3"/>
  <c r="BM22" i="3"/>
  <c r="D949" i="3"/>
  <c r="D950" i="3" s="1"/>
  <c r="D951" i="3" s="1"/>
  <c r="D946" i="3" s="1"/>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BJ29" i="3"/>
  <c r="O25" i="3"/>
  <c r="F14" i="3"/>
  <c r="C10" i="3" s="1"/>
  <c r="J187" i="3"/>
  <c r="U21" i="3"/>
  <c r="BE26" i="3"/>
  <c r="BE24" i="3"/>
  <c r="BE25" i="3"/>
  <c r="BE22" i="3"/>
  <c r="BE27" i="3" s="1"/>
  <c r="AG36" i="3"/>
  <c r="AI28" i="3"/>
  <c r="AF28" i="3"/>
  <c r="AG37" i="3" s="1"/>
  <c r="AI36" i="3"/>
  <c r="M742" i="3"/>
  <c r="M756" i="3" s="1"/>
  <c r="BA43" i="3"/>
  <c r="AF25" i="3" s="1"/>
  <c r="N81" i="3"/>
  <c r="M169" i="3" s="1"/>
  <c r="V22" i="3"/>
  <c r="U22" i="3" s="1"/>
  <c r="BP22" i="3"/>
  <c r="BL23" i="3"/>
  <c r="BS23" i="3"/>
  <c r="BP24" i="3"/>
  <c r="BP26" i="3"/>
  <c r="AR719" i="3"/>
  <c r="AR718" i="3" s="1"/>
  <c r="AY720" i="3" s="1"/>
  <c r="G960" i="3"/>
  <c r="AV742" i="3"/>
  <c r="BP23" i="3"/>
  <c r="X22" i="3"/>
  <c r="BS22" i="3"/>
  <c r="BS27" i="3" s="1"/>
  <c r="BS24" i="3"/>
  <c r="H154" i="3"/>
  <c r="BI98" i="3"/>
  <c r="BJ104" i="3"/>
  <c r="F185" i="3"/>
  <c r="F183" i="3"/>
  <c r="F188" i="3"/>
  <c r="F186" i="3"/>
  <c r="F184" i="3"/>
  <c r="H925" i="3"/>
  <c r="H879" i="3"/>
  <c r="AX737"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AY32" i="4"/>
  <c r="AY36" i="4" s="1"/>
  <c r="AY34" i="4" s="1"/>
  <c r="V33" i="4"/>
  <c r="W33" i="4" s="1"/>
  <c r="T30" i="4" s="1"/>
  <c r="D135" i="4" s="1"/>
  <c r="AI36" i="4"/>
  <c r="F205" i="4" s="1"/>
  <c r="R40" i="4"/>
  <c r="O37" i="4" s="1"/>
  <c r="BK19" i="4"/>
  <c r="BE22" i="4"/>
  <c r="BE2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BM35" i="3" l="1"/>
  <c r="BL26" i="3"/>
  <c r="BM23" i="3"/>
  <c r="F31" i="3"/>
  <c r="F32" i="3"/>
  <c r="BM738" i="4"/>
  <c r="BM738" i="3"/>
  <c r="K876" i="3"/>
  <c r="D940" i="3" s="1"/>
  <c r="BM25" i="3"/>
  <c r="Q19" i="4"/>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H739" i="4" l="1"/>
  <c r="BH740" i="4" s="1"/>
  <c r="F33" i="3"/>
  <c r="BM33" i="3"/>
  <c r="BN33" i="3" s="1"/>
  <c r="BM34" i="3"/>
  <c r="BN34" i="3" s="1"/>
  <c r="BP28" i="3"/>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29" i="3"/>
  <c r="AV14" i="3"/>
  <c r="AJ33" i="3"/>
  <c r="BC90" i="3" s="1"/>
  <c r="BB90"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BB89" i="3" l="1"/>
  <c r="BB88" i="3"/>
  <c r="BP31" i="3" s="1"/>
  <c r="BM31" i="3" s="1"/>
  <c r="M770" i="4"/>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M771" i="3" l="1"/>
  <c r="G971" i="3"/>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S70" i="3" s="1"/>
  <c r="T86" i="3"/>
  <c r="U86" i="3" s="1"/>
  <c r="V86" i="3" s="1"/>
  <c r="R86" i="3"/>
  <c r="R87" i="3" s="1"/>
  <c r="N96" i="3"/>
  <c r="M184" i="3" s="1"/>
  <c r="J221" i="3" s="1"/>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T86" i="4"/>
  <c r="U86" i="4" s="1"/>
  <c r="V86" i="4" s="1"/>
  <c r="N96" i="4"/>
  <c r="R86" i="4"/>
  <c r="R87" i="4" s="1"/>
  <c r="L130" i="4"/>
  <c r="M182" i="4"/>
  <c r="J219" i="4" s="1"/>
  <c r="L131" i="4"/>
  <c r="S70" i="4" l="1"/>
  <c r="M183" i="4"/>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X800" i="3"/>
  <c r="AW800" i="3" s="1"/>
  <c r="AQ717" i="4"/>
  <c r="BE722" i="4"/>
  <c r="AE743" i="4"/>
  <c r="AW798" i="4" s="1"/>
  <c r="BK741" i="4" s="1"/>
  <c r="BH741" i="4" s="1"/>
  <c r="R800" i="4"/>
  <c r="AW739" i="4"/>
  <c r="AX800" i="4" l="1"/>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<sst xmlns="http://schemas.openxmlformats.org/spreadsheetml/2006/main" count="2764" uniqueCount="612">
  <si>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</si>
  <si>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</si>
  <si>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</si>
  <si>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</si>
  <si>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</si>
  <si>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</si>
  <si>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</si>
  <si>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</si>
  <si>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</si>
  <si>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</si>
  <si>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</si>
  <si>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</si>
  <si>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</si>
  <si>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</si>
  <si>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</si>
  <si>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</si>
  <si>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</si>
  <si>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</si>
  <si>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</si>
  <si>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</si>
  <si>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</si>
  <si>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</si>
  <si>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</si>
  <si>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</si>
  <si>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</si>
  <si>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</si>
  <si>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</si>
  <si>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</si>
  <si>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</si>
  <si>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</si>
  <si>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</si>
  <si>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</si>
  <si>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</si>
  <si>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</si>
  <si>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</si>
  <si>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</si>
  <si>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</si>
  <si>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</si>
  <si>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</si>
  <si>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</si>
  <si>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</si>
  <si>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</si>
  <si>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</si>
  <si>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</si>
  <si>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</si>
  <si>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</si>
  <si>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</si>
  <si>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</si>
  <si>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</si>
  <si>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</si>
  <si>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</si>
  <si>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</si>
  <si>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</si>
  <si>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</si>
  <si>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</si>
  <si>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</si>
  <si>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</si>
  <si>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</si>
  <si>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</si>
  <si>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</si>
  <si>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</si>
  <si>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</si>
  <si>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</si>
  <si>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</si>
  <si>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</si>
  <si>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</si>
  <si>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</si>
  <si>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</si>
  <si>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</si>
  <si>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</si>
  <si>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</si>
  <si>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</si>
  <si>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</si>
  <si>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</si>
  <si>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</si>
  <si>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</si>
  <si>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</si>
  <si>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</si>
  <si>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</si>
  <si>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</si>
  <si>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</si>
  <si>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</si>
  <si>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</si>
  <si>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</si>
  <si>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</si>
  <si>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</si>
  <si>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</si>
  <si>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</si>
  <si>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</si>
  <si>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</si>
  <si>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</si>
  <si>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</si>
  <si>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</si>
  <si>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</si>
  <si>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</si>
  <si>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</si>
  <si>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</si>
  <si>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</si>
  <si>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</si>
  <si>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</si>
  <si>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</si>
  <si>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</si>
  <si>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</si>
  <si>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</si>
  <si>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</si>
  <si>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</si>
  <si>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</si>
  <si>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</si>
  <si>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</si>
  <si>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</si>
  <si>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</si>
  <si>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</si>
  <si>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</si>
  <si>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</si>
  <si>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</si>
  <si>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</si>
  <si>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</si>
  <si>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</si>
  <si>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</si>
  <si>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</si>
  <si>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</si>
  <si>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</si>
  <si>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</si>
  <si>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</si>
  <si>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</si>
  <si>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</si>
  <si>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</si>
  <si>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</si>
  <si>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</si>
  <si>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</si>
  <si>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</si>
  <si>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</si>
  <si>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</si>
  <si>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</si>
  <si>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</si>
  <si>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</si>
  <si>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</si>
  <si>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</si>
  <si>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</si>
  <si>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</si>
  <si>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</si>
  <si>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</si>
  <si>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</si>
  <si>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</si>
  <si>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</si>
  <si>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</si>
  <si>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</si>
  <si>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</si>
  <si>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</si>
  <si>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</si>
  <si>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</si>
  <si>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</si>
  <si>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</si>
  <si>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</si>
  <si>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</si>
  <si>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</si>
  <si>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</si>
  <si>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</si>
  <si>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</si>
  <si>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</si>
  <si>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</si>
  <si>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</si>
  <si>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</si>
  <si>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</si>
  <si>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</si>
  <si>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</si>
  <si>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</si>
  <si>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</si>
  <si>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</si>
  <si>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</si>
  <si>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</si>
  <si>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</si>
  <si>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</si>
  <si>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</si>
  <si>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</si>
  <si>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</si>
  <si>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</si>
  <si>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</si>
  <si>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</si>
  <si>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</si>
  <si>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</si>
  <si>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</si>
  <si>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</si>
  <si>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</si>
  <si>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</si>
  <si>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</si>
  <si>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</si>
  <si>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</si>
  <si>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</si>
  <si>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</si>
  <si>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</si>
  <si>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</si>
  <si>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</si>
  <si>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</si>
  <si>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</si>
  <si>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</si>
  <si>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</si>
  <si>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</si>
  <si>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</si>
  <si>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</si>
  <si>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</si>
  <si>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</si>
  <si>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</si>
  <si>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</si>
  <si>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</si>
  <si>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</si>
  <si>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</si>
  <si>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</si>
  <si>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</si>
  <si>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</si>
  <si>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</si>
  <si>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</si>
  <si>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</si>
  <si>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</si>
  <si>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</si>
  <si>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</si>
  <si>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</si>
  <si>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</si>
  <si>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</si>
  <si>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</si>
  <si>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</si>
  <si>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</si>
  <si>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</si>
  <si>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</si>
  <si>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</si>
  <si>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</si>
  <si>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</si>
  <si>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</si>
  <si>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</si>
  <si>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</si>
  <si>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</si>
  <si>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</si>
  <si>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</si>
  <si>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</si>
  <si>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</si>
  <si>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</si>
  <si>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</si>
  <si>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</si>
  <si>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</si>
  <si>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</si>
  <si>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</si>
  <si>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</si>
  <si>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</si>
  <si>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</si>
  <si>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</si>
  <si>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</si>
  <si>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</si>
  <si>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</si>
  <si>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</si>
  <si>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</si>
  <si>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</si>
  <si>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</si>
  <si>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</si>
  <si>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</si>
  <si>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</si>
  <si>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</si>
  <si>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</si>
  <si>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</si>
  <si>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</si>
  <si>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</si>
  <si>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</si>
  <si>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</si>
  <si>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</si>
  <si>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</si>
  <si>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</si>
  <si>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</si>
  <si>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</si>
  <si>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</si>
  <si>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</si>
  <si>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</si>
  <si>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</si>
  <si>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</si>
  <si>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</si>
  <si>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</si>
  <si>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</si>
  <si>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</si>
  <si>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</si>
  <si>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</si>
  <si>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</si>
  <si>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</si>
  <si>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</si>
  <si>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</si>
  <si>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</si>
  <si>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</si>
  <si>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</si>
  <si>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</si>
  <si>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</si>
  <si>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</si>
  <si>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</si>
  <si>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</si>
  <si>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</si>
  <si>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</si>
  <si>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</si>
  <si>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</si>
  <si>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</si>
  <si>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</si>
  <si>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</si>
  <si>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</si>
  <si>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</si>
  <si>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</si>
  <si>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</si>
  <si>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</si>
  <si>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</si>
  <si>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</si>
  <si>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</si>
  <si>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</si>
  <si>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</si>
  <si>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</si>
  <si>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</si>
  <si>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</si>
  <si>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</si>
  <si>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</si>
  <si>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</si>
  <si>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</si>
  <si>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</si>
  <si>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</si>
  <si>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</si>
  <si>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</si>
  <si>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</si>
  <si>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</si>
  <si>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</si>
  <si>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</si>
  <si>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</si>
  <si>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</si>
  <si>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</si>
  <si>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</si>
  <si>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</si>
  <si>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</si>
  <si>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</si>
  <si>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</si>
  <si>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</si>
  <si>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</si>
  <si>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</si>
  <si>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</si>
  <si>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</si>
  <si>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</si>
  <si>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</si>
  <si>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</si>
  <si>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</si>
  <si>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</si>
  <si>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</si>
  <si>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</si>
  <si>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</si>
  <si>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</si>
  <si>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</si>
  <si>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</si>
  <si>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</si>
  <si>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</si>
  <si>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</si>
  <si>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</si>
  <si>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</si>
  <si>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</si>
  <si>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</si>
  <si>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</si>
  <si>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</si>
  <si>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</si>
  <si>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</si>
  <si>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</si>
  <si>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</si>
  <si>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</si>
  <si>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</si>
  <si>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</si>
  <si>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</si>
  <si>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</si>
  <si>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</si>
  <si>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</si>
  <si>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</si>
  <si>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</si>
  <si>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</si>
  <si>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</si>
  <si>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</si>
  <si>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</si>
  <si>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</si>
  <si>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</si>
  <si>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</si>
  <si>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</si>
  <si>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</si>
  <si>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</si>
  <si>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</si>
  <si>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</si>
  <si>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</si>
  <si>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</si>
  <si>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</si>
  <si>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</si>
  <si>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</si>
  <si>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</si>
  <si>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</si>
  <si>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</si>
  <si>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</si>
  <si>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</si>
  <si>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</si>
  <si>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</si>
  <si>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</si>
  <si>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</si>
  <si>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</si>
  <si>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</si>
  <si>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</si>
  <si>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</si>
  <si>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</si>
  <si>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</si>
  <si>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</si>
  <si>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</si>
  <si>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</si>
  <si>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</si>
  <si>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</si>
  <si>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</si>
  <si>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</si>
  <si>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</si>
  <si>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</si>
  <si>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</si>
  <si>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</si>
  <si>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</si>
  <si>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</si>
  <si>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</si>
  <si>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</si>
  <si>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</si>
  <si>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</si>
  <si>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</si>
  <si>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</si>
  <si>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</si>
  <si>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</si>
  <si>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</si>
  <si>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</si>
  <si>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</si>
  <si>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</si>
  <si>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</si>
  <si>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</si>
  <si>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</si>
  <si>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</si>
  <si>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</si>
  <si>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</si>
  <si>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</si>
  <si>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</si>
  <si>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</si>
  <si>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</si>
  <si>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</si>
  <si>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</si>
  <si>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</si>
  <si>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</si>
  <si>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</si>
  <si>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</si>
  <si>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</si>
  <si>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</si>
  <si>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</si>
  <si>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</si>
  <si>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</si>
  <si>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</si>
  <si>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</si>
  <si>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</si>
  <si>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</si>
  <si>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</si>
  <si>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</si>
  <si>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</si>
  <si>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</si>
  <si>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</si>
  <si>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</si>
  <si>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</si>
  <si>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</si>
  <si>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</si>
  <si>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</si>
  <si>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</si>
  <si>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</si>
  <si>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</si>
  <si>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</si>
  <si>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</si>
  <si>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</si>
  <si>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</si>
  <si>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</si>
  <si>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</si>
  <si>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</si>
  <si>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</si>
  <si>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</si>
  <si>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</si>
  <si>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</si>
  <si>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</si>
  <si>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</si>
  <si>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</si>
  <si>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</si>
  <si>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</si>
  <si>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</si>
  <si>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</si>
  <si>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</si>
  <si>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</si>
  <si>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</si>
  <si>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</si>
  <si>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</si>
  <si>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</si>
  <si>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</si>
  <si>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</si>
  <si>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</si>
  <si>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</si>
  <si>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</si>
  <si>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</si>
  <si>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</si>
  <si>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</si>
  <si>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</si>
  <si>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</si>
  <si>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</si>
  <si>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</si>
  <si>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</si>
  <si>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</si>
  <si>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</si>
  <si>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</si>
  <si>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</si>
  <si>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</si>
  <si>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</si>
  <si>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</si>
  <si>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</si>
  <si>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</si>
  <si>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</si>
  <si>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</si>
  <si>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</si>
  <si>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</si>
  <si>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</si>
  <si>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</si>
  <si>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</si>
  <si>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</si>
  <si>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</si>
  <si>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</si>
  <si>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</si>
  <si>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</si>
  <si>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</si>
  <si>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</si>
  <si>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</si>
  <si>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</si>
  <si>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</si>
  <si>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</si>
  <si>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</si>
  <si>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</si>
  <si>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</si>
  <si>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</si>
  <si>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</si>
  <si>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</si>
  <si>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</si>
  <si>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</si>
  <si>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</si>
  <si>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</si>
  <si>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</si>
  <si>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</si>
  <si>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</si>
  <si>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</si>
  <si>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</si>
  <si>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</si>
  <si>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</si>
  <si>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</si>
  <si>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</si>
  <si>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</si>
  <si>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</si>
  <si>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</si>
  <si>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</si>
  <si>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</si>
  <si>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</si>
  <si>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</si>
  <si>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</si>
  <si>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</si>
  <si>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</si>
  <si>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</si>
  <si>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</si>
  <si>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</si>
  <si>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</si>
  <si>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</si>
  <si>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</si>
  <si>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</si>
  <si>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</si>
  <si>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</si>
  <si>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</si>
  <si>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</si>
  <si>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</si>
  <si>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</si>
  <si>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</si>
  <si>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</si>
  <si>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</si>
  <si>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</si>
  <si>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</si>
  <si>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</si>
  <si>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</si>
  <si>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</si>
  <si>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</si>
  <si>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</si>
  <si>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</si>
  <si>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</si>
  <si>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</si>
  <si>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</si>
  <si>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</si>
  <si>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</si>
  <si>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</si>
  <si>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</si>
  <si>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</si>
  <si>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</si>
  <si>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</si>
  <si>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</si>
  <si>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</si>
  <si>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</si>
  <si>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</si>
  <si>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</si>
  <si>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</si>
  <si>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</si>
  <si>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</si>
  <si>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</si>
  <si>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</si>
  <si>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</si>
  <si>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</si>
  <si>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</si>
  <si>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</si>
  <si>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</si>
  <si>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</si>
  <si>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</si>
  <si>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</si>
  <si>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</si>
  <si>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</si>
  <si>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</si>
  <si>
    <t>תוספת שעות גיל</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</si>
</sst>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2">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Alignment="1" applyProtection="1">
      <alignment horizontal="center"/>
      <protection locked="0"/>
    </xf>
    <xf numFmtId="164" fontId="5" fillId="2" borderId="0" xfId="0" applyNumberFormat="1" applyFont="1" applyFill="1" applyAlignment="1" applyProtection="1">
      <alignment horizontal="center"/>
      <protection locked="0"/>
    </xf>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lignment horizontal="center"/>
    </xf>
    <xf numFmtId="2" fontId="4" fillId="29" borderId="4" xfId="0" applyNumberFormat="1" applyFont="1" applyFill="1" applyBorder="1" applyAlignment="1">
      <alignment horizontal="center"/>
    </xf>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98" fillId="15" borderId="19" xfId="0" applyNumberFormat="1" applyFont="1" applyFill="1" applyBorder="1" applyAlignment="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5">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b/>
        <i val="0"/>
        <condense val="0"/>
        <extend val="0"/>
        <color auto="1"/>
      </font>
      <fill>
        <patternFill>
          <bgColor indexed="4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border>
        <left/>
        <right/>
        <top/>
        <bottom/>
      </border>
    </dxf>
    <dxf>
      <font>
        <color theme="0"/>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topLeftCell="A12" zoomScaleNormal="100" workbookViewId="0">
      <selection activeCell="C28" sqref="C28"/>
    </sheetView>
  </sheetViews>
  <sheetFormatPr defaultRowHeight="14" x14ac:dyDescent="0.3"/>
  <cols>
    <col min="1" max="1" width="31.33203125" customWidth="1"/>
    <col min="3" max="3" width="29.25" customWidth="1"/>
    <col min="4" max="4" width="29.33203125" customWidth="1"/>
    <col min="5" max="5" width="18.25" customWidth="1"/>
    <col min="7" max="7" width="34.08203125" customWidth="1"/>
  </cols>
  <sheetData>
    <row r="1" spans="1:7" ht="15" thickTop="1" thickBot="1" x14ac:dyDescent="0.35">
      <c r="A1" s="8" t="s">
        <v>35</v>
      </c>
      <c r="B1" s="9"/>
      <c r="C1" s="33" t="s">
        <v>74</v>
      </c>
      <c r="D1" s="33"/>
      <c r="E1" s="33"/>
      <c r="F1" s="26"/>
    </row>
    <row r="2" spans="1:7" ht="14.5" thickTop="1" x14ac:dyDescent="0.3">
      <c r="A2" s="1" t="s">
        <v>0</v>
      </c>
      <c r="B2" s="2" t="s">
        <v>11</v>
      </c>
      <c r="C2" t="s">
        <v>24</v>
      </c>
    </row>
    <row r="3" spans="1:7" x14ac:dyDescent="0.3">
      <c r="A3" s="1" t="s">
        <v>2</v>
      </c>
      <c r="B3" s="3">
        <v>21</v>
      </c>
      <c r="C3" t="s">
        <v>47</v>
      </c>
    </row>
    <row r="4" spans="1:7" x14ac:dyDescent="0.3">
      <c r="A4" s="1" t="s">
        <v>3</v>
      </c>
      <c r="B4" s="191">
        <f>IF(B9&gt;0%,0,6%)</f>
        <v>0</v>
      </c>
      <c r="C4" s="21" t="s">
        <v>36</v>
      </c>
      <c r="D4" s="21" t="s">
        <v>22</v>
      </c>
    </row>
    <row r="5" spans="1:7" x14ac:dyDescent="0.3">
      <c r="A5" s="1" t="s">
        <v>4</v>
      </c>
      <c r="B5" s="192">
        <f>IF(B2=B33,8.75,IF(B2=C33,8.75,0))</f>
        <v>8.75</v>
      </c>
      <c r="C5" s="21" t="s">
        <v>36</v>
      </c>
      <c r="D5" s="21" t="s">
        <v>23</v>
      </c>
    </row>
    <row r="6" spans="1:7" x14ac:dyDescent="0.3">
      <c r="A6" s="1" t="s">
        <v>38</v>
      </c>
      <c r="B6" s="5">
        <v>16</v>
      </c>
      <c r="C6" t="s">
        <v>24</v>
      </c>
    </row>
    <row r="7" spans="1:7" x14ac:dyDescent="0.3">
      <c r="A7" s="1" t="s">
        <v>5</v>
      </c>
      <c r="B7" s="4">
        <v>0</v>
      </c>
      <c r="C7" t="s">
        <v>45</v>
      </c>
    </row>
    <row r="8" spans="1:7" x14ac:dyDescent="0.3">
      <c r="A8" s="1" t="s">
        <v>37</v>
      </c>
      <c r="B8" s="4">
        <v>1.61</v>
      </c>
      <c r="C8" t="s">
        <v>44</v>
      </c>
    </row>
    <row r="9" spans="1:7" x14ac:dyDescent="0.3">
      <c r="A9" s="6" t="s">
        <v>6</v>
      </c>
      <c r="B9" s="4">
        <v>0.1</v>
      </c>
      <c r="C9" t="s">
        <v>46</v>
      </c>
    </row>
    <row r="10" spans="1:7" x14ac:dyDescent="0.3">
      <c r="A10" s="6" t="s">
        <v>7</v>
      </c>
      <c r="B10" s="4" t="s">
        <v>27</v>
      </c>
      <c r="C10" t="s">
        <v>25</v>
      </c>
      <c r="E10" s="10"/>
    </row>
    <row r="11" spans="1:7" ht="14.5" thickBot="1" x14ac:dyDescent="0.35">
      <c r="A11" s="16" t="s">
        <v>42</v>
      </c>
      <c r="B11" s="17" t="s">
        <v>29</v>
      </c>
      <c r="C11" t="s">
        <v>43</v>
      </c>
      <c r="E11" s="10"/>
    </row>
    <row r="12" spans="1:7" ht="14.5" thickTop="1" x14ac:dyDescent="0.3">
      <c r="A12" s="14" t="s">
        <v>42</v>
      </c>
      <c r="B12" s="15">
        <v>1</v>
      </c>
      <c r="C12" t="s">
        <v>51</v>
      </c>
    </row>
    <row r="13" spans="1:7" x14ac:dyDescent="0.3">
      <c r="A13" s="14" t="s">
        <v>30</v>
      </c>
      <c r="B13" s="15">
        <v>0.5</v>
      </c>
      <c r="C13" t="s">
        <v>50</v>
      </c>
    </row>
    <row r="14" spans="1:7" x14ac:dyDescent="0.3">
      <c r="A14" s="14" t="s">
        <v>31</v>
      </c>
      <c r="B14" s="15">
        <v>0.5</v>
      </c>
      <c r="C14" t="s">
        <v>49</v>
      </c>
      <c r="D14" t="s">
        <v>608</v>
      </c>
    </row>
    <row r="15" spans="1:7" ht="14.5" thickBot="1" x14ac:dyDescent="0.35">
      <c r="D15" s="13" t="s">
        <v>40</v>
      </c>
      <c r="E15" s="195">
        <v>33</v>
      </c>
      <c r="F15" s="196">
        <f>($E$15/24)+AX44</f>
        <v>1.375</v>
      </c>
      <c r="G15" s="11" t="s">
        <v>30</v>
      </c>
    </row>
    <row r="16" spans="1:7" ht="14.5" thickBot="1" x14ac:dyDescent="0.35">
      <c r="D16" s="13" t="s">
        <v>41</v>
      </c>
      <c r="E16" s="195">
        <v>3</v>
      </c>
      <c r="F16" s="196">
        <f>$E$16/30+AX45</f>
        <v>0.1</v>
      </c>
      <c r="G16" s="11" t="s">
        <v>31</v>
      </c>
    </row>
    <row r="17" spans="1:69" x14ac:dyDescent="0.3">
      <c r="A17" s="6" t="s">
        <v>39</v>
      </c>
      <c r="C17" s="205"/>
      <c r="D17" s="205"/>
      <c r="E17" s="205"/>
    </row>
    <row r="18" spans="1:69" x14ac:dyDescent="0.3">
      <c r="C18" s="18" t="s">
        <v>611</v>
      </c>
      <c r="D18" s="18"/>
      <c r="E18" s="18"/>
      <c r="F18" s="6"/>
      <c r="H18" s="10"/>
    </row>
    <row r="19" spans="1:69" x14ac:dyDescent="0.3">
      <c r="A19" t="s">
        <v>48</v>
      </c>
      <c r="C19" s="18"/>
      <c r="D19" s="18"/>
      <c r="E19" s="18"/>
      <c r="F19" s="6"/>
      <c r="H19" s="10"/>
    </row>
    <row r="20" spans="1:69" ht="14.5" thickBot="1" x14ac:dyDescent="0.35">
      <c r="A20" s="7" t="s">
        <v>33</v>
      </c>
      <c r="B20" s="193">
        <v>0</v>
      </c>
      <c r="C20" s="18" t="s">
        <v>34</v>
      </c>
      <c r="D20" s="18"/>
      <c r="E20" s="18"/>
    </row>
    <row r="21" spans="1:69" ht="14.5" thickTop="1" x14ac:dyDescent="0.3">
      <c r="A21" s="6" t="s">
        <v>32</v>
      </c>
      <c r="B21" s="194">
        <v>0</v>
      </c>
      <c r="C21" s="18"/>
      <c r="D21" s="19"/>
      <c r="E21" s="18"/>
    </row>
    <row r="22" spans="1:69" x14ac:dyDescent="0.3">
      <c r="C22" s="18"/>
      <c r="D22" s="18"/>
      <c r="E22" s="18"/>
    </row>
    <row r="23" spans="1:69" x14ac:dyDescent="0.3">
      <c r="C23" s="18"/>
      <c r="D23" s="20"/>
      <c r="E23" s="20"/>
      <c r="F23" s="12"/>
    </row>
    <row r="24" spans="1:69" x14ac:dyDescent="0.3">
      <c r="B24" s="12"/>
      <c r="C24" s="18"/>
      <c r="D24" s="20"/>
      <c r="E24" s="20"/>
      <c r="F24" s="12"/>
    </row>
    <row r="25" spans="1:69" x14ac:dyDescent="0.3">
      <c r="A25" s="12"/>
      <c r="B25" s="12"/>
      <c r="C25" s="20"/>
      <c r="D25" s="20"/>
      <c r="E25" s="20"/>
      <c r="F25" s="12"/>
    </row>
    <row r="26" spans="1:69" x14ac:dyDescent="0.3">
      <c r="C26" s="20"/>
      <c r="D26" s="18"/>
      <c r="E26" s="18"/>
      <c r="J26" s="197"/>
      <c r="K26" s="197"/>
      <c r="L26" s="197"/>
      <c r="M26" s="197"/>
      <c r="N26" s="197"/>
      <c r="O26" s="197"/>
      <c r="P26" s="197"/>
      <c r="Q26" s="197"/>
      <c r="R26" s="197"/>
      <c r="S26" s="197"/>
      <c r="T26" s="197"/>
      <c r="U26" s="197"/>
      <c r="V26" s="197"/>
      <c r="W26" s="197"/>
      <c r="X26" s="197"/>
      <c r="Y26" s="197"/>
      <c r="Z26" s="197"/>
      <c r="AA26" s="197"/>
      <c r="AB26" s="197"/>
      <c r="AC26" s="197"/>
      <c r="AD26" s="197"/>
      <c r="AE26" s="197"/>
      <c r="AF26" s="197"/>
      <c r="AG26" s="197"/>
      <c r="AH26" s="197"/>
      <c r="AI26" s="197"/>
      <c r="AJ26" s="197"/>
      <c r="AK26" s="197"/>
      <c r="AL26" s="197"/>
      <c r="AM26" s="197"/>
      <c r="AN26" s="197"/>
      <c r="AO26" s="197"/>
      <c r="AP26" s="197"/>
      <c r="AQ26" s="197"/>
      <c r="AR26" s="197"/>
      <c r="AS26" s="197"/>
      <c r="AT26" s="197"/>
      <c r="AU26" s="197"/>
      <c r="AV26" s="197"/>
      <c r="AW26" s="197"/>
      <c r="AX26" s="197"/>
      <c r="AY26" s="197"/>
      <c r="AZ26" s="197"/>
      <c r="BA26" s="197"/>
      <c r="BB26" s="197"/>
      <c r="BC26" s="197"/>
      <c r="BD26" s="197"/>
      <c r="BE26" s="197"/>
      <c r="BF26" s="197"/>
      <c r="BG26" s="197"/>
      <c r="BH26" s="197"/>
      <c r="BI26" s="197"/>
      <c r="BJ26" s="197"/>
      <c r="BK26" s="197"/>
      <c r="BL26" s="197"/>
      <c r="BM26" s="197"/>
      <c r="BN26" s="197"/>
      <c r="BO26" s="197"/>
      <c r="BP26" s="197"/>
      <c r="BQ26" s="197"/>
    </row>
    <row r="27" spans="1:69" x14ac:dyDescent="0.3">
      <c r="A27" s="197"/>
      <c r="B27" s="197"/>
      <c r="C27" s="198"/>
      <c r="D27" s="198"/>
      <c r="E27" s="198"/>
      <c r="F27" s="197"/>
      <c r="G27" s="197"/>
      <c r="H27" s="197"/>
      <c r="I27" s="197"/>
      <c r="J27" s="197"/>
      <c r="K27" s="197"/>
      <c r="L27" s="197"/>
      <c r="M27" s="197"/>
      <c r="N27" s="197"/>
      <c r="O27" s="197"/>
      <c r="P27" s="197"/>
      <c r="Q27" s="197"/>
      <c r="R27" s="197"/>
      <c r="S27" s="197"/>
      <c r="T27" s="197"/>
      <c r="U27" s="197"/>
      <c r="V27" s="197"/>
      <c r="W27" s="197"/>
      <c r="X27" s="197"/>
      <c r="Y27" s="197"/>
      <c r="Z27" s="197"/>
      <c r="AA27" s="197"/>
      <c r="AB27" s="197"/>
      <c r="AC27" s="197"/>
      <c r="AD27" s="197"/>
      <c r="AE27" s="197"/>
      <c r="AF27" s="197"/>
      <c r="AG27" s="197"/>
      <c r="AH27" s="197"/>
      <c r="AI27" s="197"/>
      <c r="AJ27" s="197"/>
      <c r="AK27" s="197"/>
      <c r="AL27" s="197"/>
      <c r="AM27" s="197"/>
      <c r="AN27" s="197"/>
      <c r="AO27" s="197"/>
      <c r="AP27" s="197"/>
      <c r="AQ27" s="197"/>
      <c r="AR27" s="197"/>
      <c r="AS27" s="197"/>
      <c r="AT27" s="197"/>
      <c r="AU27" s="197"/>
      <c r="AV27" s="197"/>
      <c r="AW27" s="197"/>
      <c r="AX27" s="197"/>
      <c r="AY27" s="197"/>
      <c r="AZ27" s="197"/>
      <c r="BA27" s="197"/>
      <c r="BB27" s="197"/>
      <c r="BC27" s="197"/>
      <c r="BD27" s="197"/>
      <c r="BE27" s="197"/>
      <c r="BF27" s="197"/>
      <c r="BG27" s="197"/>
      <c r="BH27" s="197"/>
      <c r="BI27" s="197"/>
      <c r="BJ27" s="197"/>
      <c r="BK27" s="197"/>
      <c r="BL27" s="197"/>
      <c r="BM27" s="197"/>
      <c r="BN27" s="197"/>
      <c r="BO27" s="197"/>
      <c r="BP27" s="197"/>
      <c r="BQ27" s="197"/>
    </row>
    <row r="28" spans="1:69" x14ac:dyDescent="0.3">
      <c r="A28" s="197"/>
      <c r="B28" s="197"/>
      <c r="C28" s="197"/>
      <c r="D28" s="197"/>
      <c r="E28" s="197"/>
      <c r="F28" s="197"/>
      <c r="G28" s="197"/>
      <c r="H28" s="197"/>
      <c r="I28" s="197"/>
      <c r="J28" s="197"/>
      <c r="K28" s="197"/>
      <c r="L28" s="197"/>
      <c r="M28" s="197"/>
      <c r="N28" s="197"/>
      <c r="O28" s="197"/>
      <c r="P28" s="197"/>
      <c r="Q28" s="197"/>
      <c r="R28" s="197"/>
      <c r="S28" s="197"/>
      <c r="T28" s="197"/>
      <c r="U28" s="197"/>
      <c r="V28" s="197"/>
      <c r="W28" s="197"/>
      <c r="X28" s="197"/>
      <c r="Y28" s="197"/>
      <c r="Z28" s="197"/>
      <c r="AA28" s="197"/>
      <c r="AB28" s="197"/>
      <c r="AC28" s="197"/>
      <c r="AD28" s="197"/>
      <c r="AE28" s="197"/>
      <c r="AF28" s="197"/>
      <c r="AG28" s="197"/>
      <c r="AH28" s="197"/>
      <c r="AI28" s="197"/>
      <c r="AJ28" s="197"/>
      <c r="AK28" s="197"/>
      <c r="AL28" s="197"/>
      <c r="AM28" s="197"/>
      <c r="AN28" s="197"/>
      <c r="AO28" s="197"/>
      <c r="AP28" s="197"/>
      <c r="AQ28" s="197"/>
      <c r="AR28" s="197"/>
      <c r="AS28" s="197"/>
      <c r="AT28" s="197"/>
      <c r="AU28" s="197"/>
      <c r="AV28" s="197"/>
      <c r="AW28" s="197"/>
      <c r="AX28" s="197"/>
      <c r="AY28" s="197"/>
      <c r="AZ28" s="197"/>
      <c r="BA28" s="197"/>
      <c r="BB28" s="197"/>
      <c r="BC28" s="197"/>
      <c r="BD28" s="197"/>
      <c r="BE28" s="197"/>
      <c r="BF28" s="197"/>
      <c r="BG28" s="197"/>
      <c r="BH28" s="197"/>
      <c r="BI28" s="197"/>
      <c r="BJ28" s="197"/>
      <c r="BK28" s="197"/>
      <c r="BL28" s="197"/>
      <c r="BM28" s="197"/>
      <c r="BN28" s="197"/>
      <c r="BO28" s="197"/>
      <c r="BP28" s="197"/>
      <c r="BQ28" s="197"/>
    </row>
    <row r="29" spans="1:69" x14ac:dyDescent="0.3">
      <c r="A29" s="197"/>
      <c r="B29" s="197"/>
      <c r="C29" s="197"/>
      <c r="D29" s="197"/>
      <c r="E29" s="197"/>
      <c r="F29" s="197"/>
      <c r="G29" s="197"/>
      <c r="H29" s="197"/>
      <c r="I29" s="197"/>
      <c r="J29" s="197"/>
      <c r="K29" s="197"/>
      <c r="L29" s="197"/>
      <c r="M29" s="197"/>
      <c r="N29" s="197"/>
      <c r="O29" s="197"/>
      <c r="P29" s="197"/>
      <c r="Q29" s="197"/>
      <c r="R29" s="197"/>
      <c r="S29" s="197"/>
      <c r="T29" s="197"/>
      <c r="U29" s="197"/>
      <c r="V29" s="197"/>
      <c r="W29" s="197"/>
      <c r="X29" s="197"/>
      <c r="Y29" s="197"/>
      <c r="Z29" s="197"/>
      <c r="AA29" s="197"/>
      <c r="AB29" s="197"/>
      <c r="AC29" s="197"/>
      <c r="AD29" s="197"/>
      <c r="AE29" s="197"/>
      <c r="AF29" s="197"/>
      <c r="AG29" s="197"/>
      <c r="AH29" s="197"/>
      <c r="AI29" s="197"/>
      <c r="AJ29" s="197"/>
      <c r="AK29" s="197"/>
      <c r="AL29" s="197"/>
      <c r="AM29" s="197"/>
      <c r="AN29" s="197"/>
      <c r="AO29" s="197"/>
      <c r="AP29" s="197"/>
      <c r="AQ29" s="197"/>
      <c r="AR29" s="197"/>
      <c r="AS29" s="197"/>
      <c r="AT29" s="197"/>
      <c r="AU29" s="197"/>
      <c r="AV29" s="197"/>
      <c r="AW29" s="197"/>
      <c r="AX29" s="197"/>
      <c r="AY29" s="197"/>
      <c r="AZ29" s="197"/>
      <c r="BA29" s="197"/>
      <c r="BB29" s="197"/>
      <c r="BC29" s="197"/>
      <c r="BD29" s="197"/>
      <c r="BE29" s="197"/>
      <c r="BF29" s="197"/>
      <c r="BG29" s="197"/>
      <c r="BH29" s="197"/>
      <c r="BI29" s="197"/>
      <c r="BJ29" s="197"/>
      <c r="BK29" s="197"/>
      <c r="BL29" s="197"/>
      <c r="BM29" s="197"/>
      <c r="BN29" s="197"/>
      <c r="BO29" s="197"/>
      <c r="BP29" s="197"/>
      <c r="BQ29" s="197"/>
    </row>
    <row r="30" spans="1:69" x14ac:dyDescent="0.3">
      <c r="A30" s="197"/>
      <c r="B30" s="197"/>
      <c r="C30" s="197"/>
      <c r="D30" s="197"/>
      <c r="E30" s="197"/>
      <c r="F30" s="197"/>
      <c r="G30" s="197"/>
      <c r="H30" s="197"/>
      <c r="I30" s="197"/>
      <c r="J30" s="197"/>
      <c r="K30" s="197"/>
      <c r="L30" s="197"/>
      <c r="M30" s="197"/>
      <c r="N30" s="197"/>
      <c r="O30" s="197"/>
      <c r="P30" s="197"/>
      <c r="Q30" s="197"/>
      <c r="R30" s="197"/>
      <c r="S30" s="197"/>
      <c r="T30" s="197"/>
      <c r="U30" s="197"/>
      <c r="V30" s="197"/>
      <c r="W30" s="197"/>
      <c r="X30" s="197"/>
      <c r="Y30" s="197"/>
      <c r="Z30" s="197"/>
      <c r="AA30" s="197"/>
      <c r="AB30" s="197"/>
      <c r="AC30" s="197"/>
      <c r="AD30" s="197"/>
      <c r="AE30" s="197"/>
      <c r="AF30" s="197"/>
      <c r="AG30" s="197"/>
      <c r="AH30" s="197"/>
      <c r="AI30" s="197"/>
      <c r="AJ30" s="197"/>
      <c r="AK30" s="197"/>
      <c r="AL30" s="197"/>
      <c r="AM30" s="197"/>
      <c r="AN30" s="197"/>
      <c r="AO30" s="197"/>
      <c r="AP30" s="197"/>
      <c r="AQ30" s="197"/>
      <c r="AR30" s="197"/>
      <c r="AS30" s="197"/>
      <c r="AT30" s="197"/>
      <c r="AU30" s="197"/>
      <c r="AV30" s="197"/>
      <c r="AW30" s="197"/>
      <c r="AX30" s="197"/>
      <c r="AY30" s="197"/>
      <c r="AZ30" s="197"/>
      <c r="BA30" s="197"/>
      <c r="BB30" s="197"/>
      <c r="BC30" s="197"/>
      <c r="BD30" s="197"/>
      <c r="BE30" s="197"/>
      <c r="BF30" s="197"/>
      <c r="BG30" s="197"/>
      <c r="BH30" s="197"/>
      <c r="BI30" s="197"/>
      <c r="BJ30" s="197"/>
      <c r="BK30" s="197"/>
      <c r="BL30" s="197"/>
      <c r="BM30" s="197"/>
      <c r="BN30" s="197"/>
      <c r="BO30" s="197"/>
      <c r="BP30" s="197"/>
      <c r="BQ30" s="197"/>
    </row>
    <row r="31" spans="1:69" x14ac:dyDescent="0.3">
      <c r="A31" s="197"/>
      <c r="B31" s="197"/>
      <c r="C31" s="197"/>
      <c r="D31" s="197"/>
      <c r="E31" s="197"/>
      <c r="F31" s="197"/>
      <c r="G31" s="197"/>
      <c r="H31" s="197"/>
      <c r="I31" s="197"/>
      <c r="J31" s="197"/>
      <c r="K31" s="197"/>
      <c r="L31" s="197"/>
      <c r="M31" s="197"/>
      <c r="N31" s="197"/>
      <c r="O31" s="197"/>
      <c r="P31" s="197"/>
      <c r="Q31" s="197"/>
      <c r="R31" s="197"/>
      <c r="S31" s="197"/>
      <c r="T31" s="197"/>
      <c r="U31" s="197"/>
      <c r="V31" s="197"/>
      <c r="W31" s="197"/>
      <c r="X31" s="197"/>
      <c r="Y31" s="197"/>
      <c r="Z31" s="197"/>
      <c r="AA31" s="197"/>
      <c r="AB31" s="197"/>
      <c r="AC31" s="197"/>
      <c r="AD31" s="197"/>
      <c r="AE31" s="197"/>
      <c r="AF31" s="197"/>
      <c r="AG31" s="197"/>
      <c r="AH31" s="197"/>
      <c r="AI31" s="197"/>
      <c r="AJ31" s="197"/>
      <c r="AK31" s="197"/>
      <c r="AL31" s="197"/>
      <c r="AM31" s="197"/>
      <c r="AN31" s="197"/>
      <c r="AO31" s="197"/>
      <c r="AP31" s="197"/>
      <c r="AQ31" s="197"/>
      <c r="AR31" s="197"/>
      <c r="AS31" s="197"/>
      <c r="AT31" s="197"/>
      <c r="AU31" s="197"/>
      <c r="AV31" s="197"/>
      <c r="AW31" s="197"/>
      <c r="AX31" s="197"/>
      <c r="AY31" s="197"/>
      <c r="AZ31" s="197"/>
      <c r="BA31" s="197"/>
      <c r="BB31" s="197"/>
      <c r="BC31" s="197"/>
      <c r="BD31" s="197"/>
      <c r="BE31" s="197"/>
      <c r="BF31" s="197"/>
      <c r="BG31" s="197"/>
      <c r="BH31" s="197"/>
      <c r="BI31" s="197"/>
      <c r="BJ31" s="197"/>
      <c r="BK31" s="197"/>
      <c r="BL31" s="197"/>
      <c r="BM31" s="197"/>
      <c r="BN31" s="197"/>
      <c r="BO31" s="197"/>
      <c r="BP31" s="197"/>
      <c r="BQ31" s="197"/>
    </row>
    <row r="32" spans="1:69" x14ac:dyDescent="0.3">
      <c r="A32" s="197"/>
      <c r="B32" s="197"/>
      <c r="C32" s="197"/>
      <c r="D32" s="197"/>
      <c r="E32" s="197"/>
      <c r="F32" s="197"/>
      <c r="G32" s="197"/>
      <c r="H32" s="197"/>
      <c r="I32" s="197"/>
      <c r="J32" s="197"/>
      <c r="K32" s="197"/>
      <c r="L32" s="197"/>
      <c r="M32" s="197"/>
      <c r="N32" s="197"/>
      <c r="O32" s="197"/>
      <c r="P32" s="197"/>
      <c r="Q32" s="197"/>
      <c r="R32" s="197"/>
      <c r="S32" s="197"/>
      <c r="T32" s="197"/>
      <c r="U32" s="197"/>
      <c r="V32" s="197"/>
      <c r="W32" s="197"/>
      <c r="X32" s="197"/>
      <c r="Y32" s="197"/>
      <c r="Z32" s="197"/>
      <c r="AA32" s="197"/>
      <c r="AB32" s="197"/>
      <c r="AC32" s="197"/>
      <c r="AD32" s="197"/>
      <c r="AE32" s="197"/>
      <c r="AF32" s="197"/>
      <c r="AG32" s="197"/>
      <c r="AH32" s="197"/>
      <c r="AI32" s="197"/>
      <c r="AJ32" s="197"/>
      <c r="AK32" s="197"/>
      <c r="AL32" s="197"/>
      <c r="AM32" s="197"/>
      <c r="AN32" s="197"/>
      <c r="AO32" s="197"/>
      <c r="AP32" s="197"/>
      <c r="AQ32" s="197"/>
      <c r="AR32" s="197"/>
      <c r="AS32" s="197"/>
      <c r="AT32" s="197"/>
      <c r="AU32" s="197"/>
      <c r="AV32" s="197"/>
      <c r="AW32" s="197"/>
      <c r="AX32" s="197"/>
      <c r="AY32" s="197"/>
      <c r="AZ32" s="197"/>
      <c r="BA32" s="197"/>
      <c r="BB32" s="197"/>
      <c r="BC32" s="197"/>
      <c r="BD32" s="197"/>
      <c r="BE32" s="197"/>
      <c r="BF32" s="197"/>
      <c r="BG32" s="197"/>
      <c r="BH32" s="197"/>
      <c r="BI32" s="197"/>
      <c r="BJ32" s="197"/>
      <c r="BK32" s="197"/>
      <c r="BL32" s="197"/>
      <c r="BM32" s="197"/>
      <c r="BN32" s="197"/>
      <c r="BO32" s="197"/>
      <c r="BP32" s="197"/>
      <c r="BQ32" s="197"/>
    </row>
    <row r="33" spans="1:69" ht="39" x14ac:dyDescent="0.3">
      <c r="A33" s="199" t="s">
        <v>10</v>
      </c>
      <c r="B33" s="199" t="s">
        <v>11</v>
      </c>
      <c r="C33" s="199" t="s">
        <v>1</v>
      </c>
      <c r="D33" s="199" t="s">
        <v>9</v>
      </c>
      <c r="E33" s="199" t="s">
        <v>12</v>
      </c>
      <c r="F33" s="199" t="s">
        <v>13</v>
      </c>
      <c r="G33" s="199" t="s">
        <v>14</v>
      </c>
      <c r="H33" s="199" t="s">
        <v>15</v>
      </c>
      <c r="I33" s="199" t="s">
        <v>16</v>
      </c>
      <c r="J33" s="199" t="s">
        <v>17</v>
      </c>
      <c r="K33" s="199" t="s">
        <v>18</v>
      </c>
      <c r="L33" s="199" t="s">
        <v>19</v>
      </c>
      <c r="M33" s="199" t="s">
        <v>20</v>
      </c>
      <c r="N33" s="200" t="s">
        <v>21</v>
      </c>
      <c r="O33" s="197"/>
      <c r="P33" s="197"/>
      <c r="Q33" s="197"/>
      <c r="R33" s="197"/>
      <c r="S33" s="197"/>
      <c r="T33" s="197"/>
      <c r="U33" s="197"/>
      <c r="V33" s="197"/>
      <c r="W33" s="197"/>
      <c r="X33" s="197"/>
      <c r="Y33" s="197"/>
      <c r="Z33" s="197"/>
      <c r="AA33" s="197"/>
      <c r="AB33" s="197"/>
      <c r="AC33" s="197"/>
      <c r="AD33" s="197"/>
      <c r="AE33" s="197"/>
      <c r="AF33" s="197"/>
      <c r="AG33" s="197"/>
      <c r="AH33" s="197"/>
      <c r="AI33" s="197"/>
      <c r="AJ33" s="197"/>
      <c r="AK33" s="197"/>
      <c r="AL33" s="197"/>
      <c r="AM33" s="197"/>
      <c r="AN33" s="197"/>
      <c r="AO33" s="197"/>
      <c r="AP33" s="197"/>
      <c r="AQ33" s="197"/>
      <c r="AR33" s="197"/>
      <c r="AS33" s="197"/>
      <c r="AT33" s="197"/>
      <c r="AU33" s="197"/>
      <c r="AV33" s="197"/>
      <c r="AW33" s="197"/>
      <c r="AX33" s="197"/>
      <c r="AY33" s="197"/>
      <c r="AZ33" s="197"/>
      <c r="BA33" s="197"/>
      <c r="BB33" s="197"/>
      <c r="BC33" s="197"/>
      <c r="BD33" s="197"/>
      <c r="BE33" s="197"/>
      <c r="BF33" s="197"/>
      <c r="BG33" s="197"/>
      <c r="BH33" s="197"/>
      <c r="BI33" s="197"/>
      <c r="BJ33" s="197"/>
      <c r="BK33" s="197"/>
      <c r="BL33" s="197"/>
      <c r="BM33" s="197"/>
      <c r="BN33" s="197"/>
      <c r="BO33" s="197"/>
      <c r="BP33" s="197"/>
      <c r="BQ33" s="197"/>
    </row>
    <row r="34" spans="1:69" x14ac:dyDescent="0.3">
      <c r="A34" s="197" t="s">
        <v>28</v>
      </c>
      <c r="B34" s="197"/>
      <c r="C34" s="197"/>
      <c r="D34" s="197"/>
      <c r="E34" s="197"/>
      <c r="F34" s="197"/>
      <c r="G34" s="197"/>
      <c r="H34" s="197"/>
      <c r="I34" s="197"/>
      <c r="J34" s="197"/>
      <c r="K34" s="197"/>
      <c r="L34" s="197"/>
      <c r="M34" s="197"/>
      <c r="N34" s="197"/>
      <c r="O34" s="197"/>
      <c r="P34" s="197"/>
      <c r="Q34" s="197"/>
      <c r="R34" s="197"/>
      <c r="S34" s="197"/>
      <c r="T34" s="197"/>
      <c r="U34" s="197"/>
      <c r="V34" s="197"/>
      <c r="W34" s="197"/>
      <c r="X34" s="197"/>
      <c r="Y34" s="197"/>
      <c r="Z34" s="197"/>
      <c r="AA34" s="197"/>
      <c r="AB34" s="197"/>
      <c r="AC34" s="197"/>
      <c r="AD34" s="197"/>
      <c r="AE34" s="197"/>
      <c r="AF34" s="197"/>
      <c r="AG34" s="197"/>
      <c r="AH34" s="197"/>
      <c r="AI34" s="197"/>
      <c r="AJ34" s="197"/>
      <c r="AK34" s="197"/>
      <c r="AL34" s="197"/>
      <c r="AM34" s="197"/>
      <c r="AN34" s="197"/>
      <c r="AO34" s="197"/>
      <c r="AP34" s="197"/>
      <c r="AQ34" s="197"/>
      <c r="AR34" s="197"/>
      <c r="AS34" s="197"/>
      <c r="AT34" s="197"/>
      <c r="AU34" s="197"/>
      <c r="AV34" s="197"/>
      <c r="AW34" s="197"/>
      <c r="AX34" s="197"/>
      <c r="AY34" s="197"/>
      <c r="AZ34" s="197"/>
      <c r="BA34" s="197"/>
      <c r="BB34" s="197"/>
      <c r="BC34" s="197"/>
      <c r="BD34" s="197"/>
      <c r="BE34" s="197"/>
      <c r="BF34" s="197"/>
      <c r="BG34" s="197"/>
      <c r="BH34" s="197"/>
      <c r="BI34" s="197"/>
      <c r="BJ34" s="197"/>
      <c r="BK34" s="197"/>
      <c r="BL34" s="197"/>
      <c r="BM34" s="197"/>
      <c r="BN34" s="197"/>
      <c r="BO34" s="197"/>
      <c r="BP34" s="197"/>
      <c r="BQ34" s="197"/>
    </row>
    <row r="35" spans="1:69" x14ac:dyDescent="0.3">
      <c r="A35" s="197" t="s">
        <v>29</v>
      </c>
      <c r="B35" s="197"/>
      <c r="C35" s="197"/>
      <c r="D35" s="197"/>
      <c r="E35" s="197"/>
      <c r="F35" s="197"/>
      <c r="G35" s="197"/>
      <c r="H35" s="197"/>
      <c r="I35" s="197"/>
      <c r="J35" s="197"/>
      <c r="K35" s="197"/>
      <c r="L35" s="197"/>
      <c r="M35" s="197"/>
      <c r="N35" s="197"/>
      <c r="O35" s="197"/>
      <c r="P35" s="197"/>
      <c r="Q35" s="197"/>
      <c r="R35" s="197"/>
      <c r="S35" s="197"/>
      <c r="T35" s="197"/>
      <c r="U35" s="197"/>
      <c r="V35" s="197"/>
      <c r="W35" s="197"/>
      <c r="X35" s="197"/>
      <c r="Y35" s="197"/>
      <c r="Z35" s="197"/>
      <c r="AA35" s="197"/>
      <c r="AB35" s="197"/>
      <c r="AC35" s="197"/>
      <c r="AD35" s="197"/>
      <c r="AE35" s="197"/>
      <c r="AF35" s="197"/>
      <c r="AG35" s="197"/>
      <c r="AH35" s="197"/>
      <c r="AI35" s="197"/>
      <c r="AJ35" s="197"/>
      <c r="AK35" s="197"/>
      <c r="AL35" s="197"/>
      <c r="AM35" s="197"/>
      <c r="AN35" s="197"/>
      <c r="AO35" s="197"/>
      <c r="AP35" s="197"/>
      <c r="AQ35" s="197"/>
      <c r="AR35" s="197"/>
      <c r="AS35" s="197"/>
      <c r="AT35" s="197"/>
      <c r="AU35" s="197"/>
      <c r="AV35" s="197"/>
      <c r="AW35" s="197"/>
      <c r="AX35" s="197"/>
      <c r="AY35" s="197"/>
      <c r="AZ35" s="197"/>
      <c r="BA35" s="197"/>
      <c r="BB35" s="197"/>
      <c r="BC35" s="197"/>
      <c r="BD35" s="197"/>
      <c r="BE35" s="197"/>
      <c r="BF35" s="197"/>
      <c r="BG35" s="197"/>
      <c r="BH35" s="197"/>
      <c r="BI35" s="197"/>
      <c r="BJ35" s="197"/>
      <c r="BK35" s="197"/>
      <c r="BL35" s="197"/>
      <c r="BM35" s="197"/>
      <c r="BN35" s="197"/>
      <c r="BO35" s="197"/>
      <c r="BP35" s="197"/>
      <c r="BQ35" s="197"/>
    </row>
    <row r="36" spans="1:69" x14ac:dyDescent="0.3">
      <c r="A36" s="197" t="s">
        <v>26</v>
      </c>
      <c r="B36" s="197" t="s">
        <v>26</v>
      </c>
      <c r="C36" s="197">
        <v>0</v>
      </c>
      <c r="D36" s="197"/>
      <c r="E36" s="197"/>
      <c r="F36" s="197"/>
      <c r="G36" s="197"/>
      <c r="H36" s="197"/>
      <c r="I36" s="197"/>
      <c r="J36" s="197"/>
      <c r="K36" s="197"/>
      <c r="L36" s="197"/>
      <c r="M36" s="197"/>
      <c r="N36" s="197"/>
      <c r="O36" s="197"/>
      <c r="P36" s="197"/>
      <c r="Q36" s="197"/>
      <c r="R36" s="197"/>
      <c r="S36" s="197"/>
      <c r="T36" s="197"/>
      <c r="U36" s="197"/>
      <c r="V36" s="197"/>
      <c r="W36" s="197"/>
      <c r="X36" s="197"/>
      <c r="Y36" s="197"/>
      <c r="Z36" s="197"/>
      <c r="AA36" s="197"/>
      <c r="AB36" s="197"/>
      <c r="AC36" s="197"/>
      <c r="AD36" s="197"/>
      <c r="AE36" s="197"/>
      <c r="AF36" s="197"/>
      <c r="AG36" s="197"/>
      <c r="AH36" s="197"/>
      <c r="AI36" s="197"/>
      <c r="AJ36" s="197"/>
      <c r="AK36" s="197"/>
      <c r="AL36" s="197"/>
      <c r="AM36" s="197"/>
      <c r="AN36" s="197"/>
      <c r="AO36" s="197"/>
      <c r="AP36" s="197"/>
      <c r="AQ36" s="197"/>
      <c r="AR36" s="197"/>
      <c r="AS36" s="197"/>
      <c r="AT36" s="197"/>
      <c r="AU36" s="197"/>
      <c r="AV36" s="197"/>
      <c r="AW36" s="197"/>
      <c r="AX36" s="197"/>
      <c r="AY36" s="197"/>
      <c r="AZ36" s="197"/>
      <c r="BA36" s="197"/>
      <c r="BB36" s="197"/>
      <c r="BC36" s="197"/>
      <c r="BD36" s="197"/>
      <c r="BE36" s="197"/>
      <c r="BF36" s="197"/>
      <c r="BG36" s="197"/>
      <c r="BH36" s="197"/>
      <c r="BI36" s="197"/>
      <c r="BJ36" s="197"/>
      <c r="BK36" s="197"/>
      <c r="BL36" s="197"/>
      <c r="BM36" s="197"/>
      <c r="BN36" s="197"/>
      <c r="BO36" s="197"/>
      <c r="BP36" s="197"/>
      <c r="BQ36" s="197"/>
    </row>
    <row r="37" spans="1:69" x14ac:dyDescent="0.3">
      <c r="A37" s="197" t="s">
        <v>8</v>
      </c>
      <c r="B37" s="197" t="s">
        <v>27</v>
      </c>
      <c r="C37" s="197">
        <v>1</v>
      </c>
      <c r="D37" s="197"/>
      <c r="E37" s="197"/>
      <c r="F37" s="197"/>
      <c r="G37" s="197"/>
      <c r="H37" s="197"/>
      <c r="I37" s="197"/>
      <c r="J37" s="197"/>
      <c r="K37" s="197"/>
      <c r="L37" s="197"/>
      <c r="M37" s="197"/>
      <c r="N37" s="197"/>
      <c r="O37" s="197"/>
      <c r="P37" s="197"/>
      <c r="Q37" s="197"/>
      <c r="R37" s="197"/>
      <c r="S37" s="197"/>
      <c r="T37" s="197"/>
      <c r="U37" s="197"/>
      <c r="V37" s="197"/>
      <c r="W37" s="197"/>
      <c r="X37" s="197"/>
      <c r="Y37" s="197"/>
      <c r="Z37" s="197"/>
      <c r="AA37" s="197"/>
      <c r="AB37" s="197"/>
      <c r="AC37" s="197"/>
      <c r="AD37" s="197"/>
      <c r="AE37" s="197"/>
      <c r="AF37" s="197"/>
      <c r="AG37" s="197"/>
      <c r="AH37" s="197"/>
      <c r="AI37" s="197"/>
      <c r="AJ37" s="197"/>
      <c r="AK37" s="197"/>
      <c r="AL37" s="197"/>
      <c r="AM37" s="197"/>
      <c r="AN37" s="197"/>
      <c r="AO37" s="197"/>
      <c r="AP37" s="197"/>
      <c r="AQ37" s="197"/>
      <c r="AR37" s="197"/>
      <c r="AS37" s="197"/>
      <c r="AT37" s="197"/>
      <c r="AU37" s="197"/>
      <c r="AV37" s="197"/>
      <c r="AW37" s="197"/>
      <c r="AX37" s="197"/>
      <c r="AY37" s="197"/>
      <c r="AZ37" s="197"/>
      <c r="BA37" s="197"/>
      <c r="BB37" s="197"/>
      <c r="BC37" s="197"/>
      <c r="BD37" s="197"/>
      <c r="BE37" s="197"/>
      <c r="BF37" s="197"/>
      <c r="BG37" s="197"/>
      <c r="BH37" s="197"/>
      <c r="BI37" s="197"/>
      <c r="BJ37" s="197"/>
      <c r="BK37" s="197"/>
      <c r="BL37" s="197"/>
      <c r="BM37" s="197"/>
      <c r="BN37" s="197"/>
      <c r="BO37" s="197"/>
      <c r="BP37" s="197"/>
      <c r="BQ37" s="197"/>
    </row>
    <row r="38" spans="1:69" x14ac:dyDescent="0.3">
      <c r="A38" s="197" t="s">
        <v>27</v>
      </c>
      <c r="B38" s="197"/>
      <c r="C38" s="197">
        <v>2</v>
      </c>
      <c r="D38" s="197"/>
      <c r="E38" s="197"/>
      <c r="F38" s="197"/>
      <c r="G38" s="197"/>
      <c r="H38" s="197"/>
      <c r="I38" s="197"/>
      <c r="J38" s="197"/>
      <c r="K38" s="197"/>
      <c r="L38" s="197"/>
      <c r="M38" s="197"/>
      <c r="N38" s="197"/>
      <c r="O38" s="197"/>
      <c r="P38" s="197"/>
      <c r="Q38" s="197"/>
      <c r="R38" s="197"/>
      <c r="S38" s="197"/>
      <c r="T38" s="197"/>
      <c r="U38" s="197"/>
      <c r="V38" s="197"/>
      <c r="W38" s="197"/>
      <c r="X38" s="197"/>
      <c r="Y38" s="197"/>
      <c r="Z38" s="197"/>
      <c r="AA38" s="197"/>
      <c r="AB38" s="197"/>
      <c r="AC38" s="197"/>
      <c r="AD38" s="197"/>
      <c r="AE38" s="197"/>
      <c r="AF38" s="197"/>
      <c r="AG38" s="197"/>
      <c r="AH38" s="197"/>
      <c r="AI38" s="197"/>
      <c r="AJ38" s="197"/>
      <c r="AK38" s="197"/>
      <c r="AL38" s="197"/>
      <c r="AM38" s="197"/>
      <c r="AN38" s="197"/>
      <c r="AO38" s="197"/>
      <c r="AP38" s="197"/>
      <c r="AQ38" s="197"/>
      <c r="AR38" s="197"/>
      <c r="AS38" s="197"/>
      <c r="AT38" s="197"/>
      <c r="AU38" s="197"/>
      <c r="AV38" s="197"/>
      <c r="AW38" s="197"/>
      <c r="AX38" s="197"/>
      <c r="AY38" s="197"/>
      <c r="AZ38" s="197"/>
      <c r="BA38" s="197"/>
      <c r="BB38" s="197"/>
      <c r="BC38" s="197"/>
      <c r="BD38" s="197"/>
      <c r="BE38" s="197"/>
      <c r="BF38" s="197"/>
      <c r="BG38" s="197"/>
      <c r="BH38" s="197"/>
      <c r="BI38" s="197"/>
      <c r="BJ38" s="197"/>
      <c r="BK38" s="197"/>
      <c r="BL38" s="197"/>
      <c r="BM38" s="197"/>
      <c r="BN38" s="197"/>
      <c r="BO38" s="197"/>
      <c r="BP38" s="197"/>
      <c r="BQ38" s="197"/>
    </row>
    <row r="39" spans="1:69" x14ac:dyDescent="0.3">
      <c r="A39" s="197">
        <v>0</v>
      </c>
      <c r="B39" s="197"/>
      <c r="C39" s="201">
        <f>IF(B10="כן",7%,0)</f>
        <v>0</v>
      </c>
      <c r="D39" s="197"/>
      <c r="E39" s="197"/>
      <c r="F39" s="197"/>
      <c r="G39" s="197"/>
      <c r="H39" s="197"/>
      <c r="I39" s="197"/>
      <c r="J39" s="197"/>
      <c r="K39" s="197"/>
      <c r="L39" s="197"/>
      <c r="M39" s="197"/>
      <c r="N39" s="197"/>
      <c r="O39" s="197"/>
      <c r="P39" s="197"/>
      <c r="Q39" s="197"/>
      <c r="R39" s="197"/>
      <c r="S39" s="197"/>
      <c r="T39" s="197"/>
      <c r="U39" s="197"/>
      <c r="V39" s="197"/>
      <c r="W39" s="197"/>
      <c r="X39" s="197"/>
      <c r="Y39" s="197"/>
      <c r="Z39" s="197"/>
      <c r="AA39" s="197"/>
      <c r="AB39" s="197"/>
      <c r="AC39" s="197"/>
      <c r="AD39" s="197"/>
      <c r="AE39" s="197"/>
      <c r="AF39" s="197"/>
      <c r="AG39" s="197"/>
      <c r="AH39" s="197"/>
      <c r="AI39" s="197"/>
      <c r="AJ39" s="197"/>
      <c r="AK39" s="197"/>
      <c r="AL39" s="197"/>
      <c r="AM39" s="197"/>
      <c r="AN39" s="197"/>
      <c r="AO39" s="197"/>
      <c r="AP39" s="197"/>
      <c r="AQ39" s="197"/>
      <c r="AR39" s="197"/>
      <c r="AS39" s="197"/>
      <c r="AT39" s="197"/>
      <c r="AU39" s="197">
        <f>B13/B12*(C39+C40+17%+12.5%)</f>
        <v>0.16250000000000001</v>
      </c>
      <c r="AV39" s="197"/>
      <c r="AW39" s="197"/>
      <c r="AX39" s="197"/>
      <c r="AY39" s="197"/>
      <c r="AZ39" s="197"/>
      <c r="BA39" s="197"/>
      <c r="BB39" s="197"/>
      <c r="BC39" s="197"/>
      <c r="BD39" s="197"/>
      <c r="BE39" s="197"/>
      <c r="BF39" s="197"/>
      <c r="BG39" s="197"/>
      <c r="BH39" s="197"/>
      <c r="BI39" s="197"/>
      <c r="BJ39" s="197"/>
      <c r="BK39" s="197"/>
      <c r="BL39" s="197"/>
      <c r="BM39" s="197"/>
      <c r="BN39" s="197"/>
      <c r="BO39" s="197"/>
      <c r="BP39" s="197"/>
      <c r="BQ39" s="197"/>
    </row>
    <row r="40" spans="1:69" x14ac:dyDescent="0.3">
      <c r="A40" s="202">
        <v>0.1</v>
      </c>
      <c r="B40" s="197"/>
      <c r="C40" s="201">
        <f>IF(B9=0,0,3%)</f>
        <v>0.03</v>
      </c>
      <c r="D40" s="197"/>
      <c r="E40" s="197"/>
      <c r="F40" s="197"/>
      <c r="G40" s="197"/>
      <c r="H40" s="197"/>
      <c r="I40" s="197"/>
      <c r="J40" s="197"/>
      <c r="K40" s="197"/>
      <c r="L40" s="197"/>
      <c r="M40" s="197"/>
      <c r="N40" s="197"/>
      <c r="O40" s="197"/>
      <c r="P40" s="197"/>
      <c r="Q40" s="197"/>
      <c r="R40" s="197"/>
      <c r="S40" s="197"/>
      <c r="T40" s="197"/>
      <c r="U40" s="197"/>
      <c r="V40" s="197"/>
      <c r="W40" s="197"/>
      <c r="X40" s="197"/>
      <c r="Y40" s="197"/>
      <c r="Z40" s="197"/>
      <c r="AA40" s="197"/>
      <c r="AB40" s="197"/>
      <c r="AC40" s="197"/>
      <c r="AD40" s="197"/>
      <c r="AE40" s="197"/>
      <c r="AF40" s="197"/>
      <c r="AG40" s="197"/>
      <c r="AH40" s="197"/>
      <c r="AI40" s="197"/>
      <c r="AJ40" s="197"/>
      <c r="AK40" s="197"/>
      <c r="AL40" s="197"/>
      <c r="AM40" s="197"/>
      <c r="AN40" s="197"/>
      <c r="AO40" s="197"/>
      <c r="AP40" s="197"/>
      <c r="AQ40" s="197"/>
      <c r="AR40" s="197"/>
      <c r="AS40" s="197"/>
      <c r="AT40" s="197"/>
      <c r="AU40" s="197">
        <f>B14/B12*(C39+C40+17%)</f>
        <v>0.1</v>
      </c>
      <c r="AV40" s="197"/>
      <c r="AW40" s="197"/>
      <c r="AX40" s="197"/>
      <c r="AY40" s="197"/>
      <c r="AZ40" s="197"/>
      <c r="BA40" s="197"/>
      <c r="BB40" s="197"/>
      <c r="BC40" s="197"/>
      <c r="BD40" s="197"/>
      <c r="BE40" s="197"/>
      <c r="BF40" s="197"/>
      <c r="BG40" s="197"/>
      <c r="BH40" s="197"/>
      <c r="BI40" s="197"/>
      <c r="BJ40" s="197"/>
      <c r="BK40" s="197"/>
      <c r="BL40" s="197"/>
      <c r="BM40" s="197"/>
      <c r="BN40" s="197"/>
      <c r="BO40" s="197"/>
      <c r="BP40" s="197"/>
      <c r="BQ40" s="197"/>
    </row>
    <row r="41" spans="1:69" x14ac:dyDescent="0.3">
      <c r="A41" s="203">
        <v>0.115</v>
      </c>
      <c r="B41" s="197"/>
      <c r="C41" s="197"/>
      <c r="D41" s="197"/>
      <c r="E41" s="197"/>
      <c r="F41" s="197"/>
      <c r="G41" s="197"/>
      <c r="H41" s="197"/>
      <c r="I41" s="197"/>
      <c r="J41" s="197"/>
      <c r="K41" s="197"/>
      <c r="L41" s="197"/>
      <c r="M41" s="197"/>
      <c r="N41" s="197"/>
      <c r="O41" s="197"/>
      <c r="P41" s="197"/>
      <c r="Q41" s="197"/>
      <c r="R41" s="197"/>
      <c r="S41" s="197"/>
      <c r="T41" s="197"/>
      <c r="U41" s="197"/>
      <c r="V41" s="197"/>
      <c r="W41" s="197"/>
      <c r="X41" s="197"/>
      <c r="Y41" s="197"/>
      <c r="Z41" s="197"/>
      <c r="AA41" s="197"/>
      <c r="AB41" s="197"/>
      <c r="AC41" s="197"/>
      <c r="AD41" s="197"/>
      <c r="AE41" s="197"/>
      <c r="AF41" s="197"/>
      <c r="AG41" s="197"/>
      <c r="AH41" s="197"/>
      <c r="AI41" s="197"/>
      <c r="AJ41" s="197"/>
      <c r="AK41" s="197"/>
      <c r="AL41" s="197"/>
      <c r="AM41" s="197"/>
      <c r="AN41" s="197"/>
      <c r="AO41" s="197"/>
      <c r="AP41" s="197"/>
      <c r="AQ41" s="197"/>
      <c r="AR41" s="197"/>
      <c r="AS41" s="197"/>
      <c r="AT41" s="197"/>
      <c r="AU41" s="197">
        <f>(AU40+AU39)</f>
        <v>0.26250000000000001</v>
      </c>
      <c r="AV41" s="197"/>
      <c r="AW41" s="197"/>
      <c r="AX41" s="197"/>
      <c r="AY41" s="197"/>
      <c r="AZ41" s="197"/>
      <c r="BA41" s="197"/>
      <c r="BB41" s="197"/>
      <c r="BC41" s="197"/>
      <c r="BD41" s="197"/>
      <c r="BE41" s="197"/>
      <c r="BF41" s="197"/>
      <c r="BG41" s="197"/>
      <c r="BH41" s="197"/>
      <c r="BI41" s="197"/>
      <c r="BJ41" s="197"/>
      <c r="BK41" s="197"/>
      <c r="BL41" s="197"/>
      <c r="BM41" s="197"/>
      <c r="BN41" s="197"/>
      <c r="BO41" s="197"/>
      <c r="BP41" s="197"/>
      <c r="BQ41" s="197"/>
    </row>
    <row r="42" spans="1:69" x14ac:dyDescent="0.3">
      <c r="A42" s="197"/>
      <c r="B42" s="197"/>
      <c r="C42" s="197"/>
      <c r="D42" s="197"/>
      <c r="E42" s="197"/>
      <c r="F42" s="197"/>
      <c r="G42" s="197"/>
      <c r="H42" s="197"/>
      <c r="I42" s="197"/>
      <c r="J42" s="197"/>
      <c r="K42" s="197"/>
      <c r="L42" s="197"/>
      <c r="M42" s="197"/>
      <c r="N42" s="197"/>
      <c r="O42" s="197"/>
      <c r="P42" s="197"/>
      <c r="Q42" s="197"/>
      <c r="R42" s="197"/>
      <c r="S42" s="197"/>
      <c r="T42" s="197"/>
      <c r="U42" s="197"/>
      <c r="V42" s="197"/>
      <c r="W42" s="197"/>
      <c r="X42" s="197"/>
      <c r="Y42" s="197"/>
      <c r="Z42" s="197"/>
      <c r="AA42" s="197"/>
      <c r="AB42" s="197"/>
      <c r="AC42" s="197"/>
      <c r="AD42" s="197"/>
      <c r="AE42" s="197"/>
      <c r="AF42" s="197"/>
      <c r="AG42" s="197"/>
      <c r="AH42" s="197"/>
      <c r="AI42" s="197"/>
      <c r="AJ42" s="197"/>
      <c r="AK42" s="197"/>
      <c r="AL42" s="197"/>
      <c r="AM42" s="197"/>
      <c r="AN42" s="197"/>
      <c r="AO42" s="197"/>
      <c r="AP42" s="197"/>
      <c r="AQ42" s="197"/>
      <c r="AR42" s="197"/>
      <c r="AS42" s="197"/>
      <c r="AT42" s="197"/>
      <c r="AU42" s="197"/>
      <c r="AV42" s="197"/>
      <c r="AW42" s="197"/>
      <c r="AX42" s="197"/>
      <c r="AY42" s="197"/>
      <c r="AZ42" s="197"/>
      <c r="BA42" s="197"/>
      <c r="BB42" s="197"/>
      <c r="BC42" s="197"/>
      <c r="BD42" s="197"/>
      <c r="BE42" s="197"/>
      <c r="BF42" s="197"/>
      <c r="BG42" s="197"/>
      <c r="BH42" s="197"/>
      <c r="BI42" s="197"/>
      <c r="BJ42" s="197"/>
      <c r="BK42" s="197"/>
      <c r="BL42" s="197"/>
      <c r="BM42" s="197"/>
      <c r="BN42" s="197"/>
      <c r="BO42" s="197"/>
      <c r="BP42" s="197"/>
      <c r="BQ42" s="197"/>
    </row>
    <row r="43" spans="1:69" x14ac:dyDescent="0.3">
      <c r="A43" s="197"/>
      <c r="B43" s="197"/>
      <c r="C43" s="197"/>
      <c r="D43" s="197"/>
      <c r="E43" s="197"/>
      <c r="F43" s="197"/>
      <c r="G43" s="197"/>
      <c r="H43" s="197"/>
      <c r="I43" s="197"/>
      <c r="J43" s="197"/>
      <c r="K43" s="197"/>
      <c r="L43" s="197"/>
      <c r="M43" s="197"/>
      <c r="N43" s="197"/>
      <c r="O43" s="197"/>
      <c r="P43" s="197"/>
      <c r="Q43" s="197"/>
      <c r="R43" s="197"/>
      <c r="S43" s="197"/>
      <c r="T43" s="197"/>
      <c r="U43" s="197"/>
      <c r="V43" s="197"/>
      <c r="W43" s="197"/>
      <c r="X43" s="197"/>
      <c r="Y43" s="197"/>
      <c r="Z43" s="197"/>
      <c r="AA43" s="197"/>
      <c r="AB43" s="197"/>
      <c r="AC43" s="197"/>
      <c r="AD43" s="197"/>
      <c r="AE43" s="197"/>
      <c r="AF43" s="197"/>
      <c r="AG43" s="197"/>
      <c r="AH43" s="197"/>
      <c r="AI43" s="197"/>
      <c r="AJ43" s="197"/>
      <c r="AK43" s="197"/>
      <c r="AL43" s="197"/>
      <c r="AM43" s="197"/>
      <c r="AN43" s="197"/>
      <c r="AO43" s="197"/>
      <c r="AP43" s="197"/>
      <c r="AQ43" s="197"/>
      <c r="AR43" s="197"/>
      <c r="AS43" s="197"/>
      <c r="AT43" s="197"/>
      <c r="AU43" s="197"/>
      <c r="AV43" s="197"/>
      <c r="AW43" s="197"/>
      <c r="AX43" s="197"/>
      <c r="AY43" s="197"/>
      <c r="AZ43" s="197"/>
      <c r="BA43" s="197"/>
      <c r="BB43" s="197"/>
      <c r="BC43" s="197"/>
      <c r="BD43" s="197"/>
      <c r="BE43" s="197"/>
      <c r="BF43" s="197"/>
      <c r="BG43" s="197"/>
      <c r="BH43" s="197"/>
      <c r="BI43" s="197"/>
      <c r="BJ43" s="197"/>
      <c r="BK43" s="197"/>
      <c r="BL43" s="197"/>
      <c r="BM43" s="197"/>
      <c r="BN43" s="197"/>
      <c r="BO43" s="197"/>
      <c r="BP43" s="197"/>
      <c r="BQ43" s="197"/>
    </row>
    <row r="44" spans="1:69" x14ac:dyDescent="0.3">
      <c r="A44" s="197"/>
      <c r="B44" s="197"/>
      <c r="C44" s="197"/>
      <c r="D44" s="197"/>
      <c r="E44" s="197"/>
      <c r="F44" s="197"/>
      <c r="G44" s="197"/>
      <c r="H44" s="197"/>
      <c r="I44" s="197"/>
      <c r="J44" s="197"/>
      <c r="K44" s="197"/>
      <c r="L44" s="197"/>
      <c r="M44" s="197"/>
      <c r="N44" s="197"/>
      <c r="O44" s="197"/>
      <c r="P44" s="197"/>
      <c r="Q44" s="197"/>
      <c r="R44" s="197"/>
      <c r="S44" s="197"/>
      <c r="T44" s="197"/>
      <c r="U44" s="197"/>
      <c r="V44" s="197"/>
      <c r="W44" s="197"/>
      <c r="X44" s="197"/>
      <c r="Y44" s="197"/>
      <c r="Z44" s="197"/>
      <c r="AA44" s="197"/>
      <c r="AB44" s="197"/>
      <c r="AC44" s="197"/>
      <c r="AD44" s="197"/>
      <c r="AE44" s="197"/>
      <c r="AF44" s="197"/>
      <c r="AG44" s="197"/>
      <c r="AH44" s="197"/>
      <c r="AI44" s="197"/>
      <c r="AJ44" s="197"/>
      <c r="AK44" s="197"/>
      <c r="AL44" s="197"/>
      <c r="AM44" s="197"/>
      <c r="AN44" s="197"/>
      <c r="AO44" s="197"/>
      <c r="AP44" s="197"/>
      <c r="AQ44" s="197"/>
      <c r="AR44" s="197"/>
      <c r="AS44" s="197"/>
      <c r="AT44" s="197"/>
      <c r="AU44" s="197">
        <f>IF(B10="כן",10%,0)</f>
        <v>0</v>
      </c>
      <c r="AV44" s="197">
        <f>($E$15/24)</f>
        <v>1.375</v>
      </c>
      <c r="AW44" s="197">
        <f>AV44/(AV45+AV44)</f>
        <v>0.93220338983050843</v>
      </c>
      <c r="AX44" s="197">
        <f>AU44*AW44</f>
        <v>0</v>
      </c>
      <c r="AY44" s="197"/>
      <c r="AZ44" s="197"/>
      <c r="BA44" s="197"/>
      <c r="BB44" s="197"/>
      <c r="BC44" s="197"/>
      <c r="BD44" s="197"/>
      <c r="BE44" s="197"/>
      <c r="BF44" s="197"/>
      <c r="BG44" s="197"/>
      <c r="BH44" s="197"/>
      <c r="BI44" s="197"/>
      <c r="BJ44" s="197"/>
      <c r="BK44" s="197"/>
      <c r="BL44" s="197"/>
      <c r="BM44" s="197"/>
      <c r="BN44" s="197"/>
      <c r="BO44" s="197"/>
      <c r="BP44" s="197"/>
      <c r="BQ44" s="197"/>
    </row>
    <row r="45" spans="1:69" x14ac:dyDescent="0.3">
      <c r="A45" s="197"/>
      <c r="B45" s="197"/>
      <c r="C45" s="197"/>
      <c r="D45" s="197"/>
      <c r="E45" s="197"/>
      <c r="F45" s="197"/>
      <c r="G45" s="197"/>
      <c r="H45" s="197"/>
      <c r="I45" s="197"/>
      <c r="J45" s="197"/>
      <c r="K45" s="197"/>
      <c r="L45" s="197"/>
      <c r="M45" s="197"/>
      <c r="N45" s="197"/>
      <c r="O45" s="197"/>
      <c r="P45" s="197"/>
      <c r="Q45" s="197"/>
      <c r="R45" s="197"/>
      <c r="S45" s="197"/>
      <c r="T45" s="197"/>
      <c r="U45" s="197"/>
      <c r="V45" s="197"/>
      <c r="W45" s="197"/>
      <c r="X45" s="197"/>
      <c r="Y45" s="197"/>
      <c r="Z45" s="197"/>
      <c r="AA45" s="197"/>
      <c r="AB45" s="197"/>
      <c r="AC45" s="197"/>
      <c r="AD45" s="197"/>
      <c r="AE45" s="197"/>
      <c r="AF45" s="197"/>
      <c r="AG45" s="197"/>
      <c r="AH45" s="197"/>
      <c r="AI45" s="197"/>
      <c r="AJ45" s="197"/>
      <c r="AK45" s="197"/>
      <c r="AL45" s="197"/>
      <c r="AM45" s="197"/>
      <c r="AN45" s="197"/>
      <c r="AO45" s="197"/>
      <c r="AP45" s="197"/>
      <c r="AQ45" s="197"/>
      <c r="AR45" s="197"/>
      <c r="AS45" s="197"/>
      <c r="AT45" s="197"/>
      <c r="AU45" s="197"/>
      <c r="AV45" s="197">
        <f>$E$16/30</f>
        <v>0.1</v>
      </c>
      <c r="AW45" s="197">
        <f>AV45/(AV44+AV45)</f>
        <v>6.7796610169491525E-2</v>
      </c>
      <c r="AX45" s="197">
        <f>AW45*AU44</f>
        <v>0</v>
      </c>
      <c r="AY45" s="197"/>
      <c r="AZ45" s="197"/>
      <c r="BA45" s="197"/>
      <c r="BB45" s="197"/>
      <c r="BC45" s="197"/>
      <c r="BD45" s="197"/>
      <c r="BE45" s="197"/>
      <c r="BF45" s="197"/>
      <c r="BG45" s="197"/>
      <c r="BH45" s="197"/>
      <c r="BI45" s="197"/>
      <c r="BJ45" s="197"/>
      <c r="BK45" s="197"/>
      <c r="BL45" s="197"/>
      <c r="BM45" s="197"/>
      <c r="BN45" s="197"/>
      <c r="BO45" s="197"/>
      <c r="BP45" s="197"/>
      <c r="BQ45" s="197"/>
    </row>
    <row r="46" spans="1:69" x14ac:dyDescent="0.3">
      <c r="A46" s="197"/>
      <c r="B46" s="197"/>
      <c r="C46" s="197"/>
      <c r="D46" s="197"/>
      <c r="E46" s="197"/>
      <c r="F46" s="197"/>
      <c r="G46" s="197"/>
      <c r="H46" s="197"/>
      <c r="I46" s="197"/>
      <c r="J46" s="197"/>
      <c r="K46" s="197"/>
      <c r="L46" s="197"/>
      <c r="M46" s="197"/>
      <c r="N46" s="197"/>
      <c r="O46" s="197"/>
      <c r="P46" s="197"/>
      <c r="Q46" s="197"/>
      <c r="R46" s="197"/>
      <c r="S46" s="197"/>
      <c r="T46" s="197"/>
      <c r="U46" s="197"/>
      <c r="V46" s="197"/>
      <c r="W46" s="197"/>
      <c r="X46" s="197"/>
      <c r="Y46" s="197"/>
      <c r="Z46" s="197"/>
      <c r="AA46" s="197"/>
      <c r="AB46" s="197"/>
      <c r="AC46" s="197"/>
      <c r="AD46" s="197"/>
      <c r="AE46" s="197"/>
      <c r="AF46" s="197"/>
      <c r="AG46" s="197"/>
      <c r="AH46" s="197"/>
      <c r="AI46" s="197"/>
      <c r="AJ46" s="197"/>
      <c r="AK46" s="197"/>
      <c r="AL46" s="197"/>
      <c r="AM46" s="197"/>
      <c r="AN46" s="197"/>
      <c r="AO46" s="197"/>
      <c r="AP46" s="197"/>
      <c r="AQ46" s="197"/>
      <c r="AR46" s="197"/>
      <c r="AS46" s="197"/>
      <c r="AT46" s="197"/>
      <c r="AU46" s="197"/>
      <c r="AV46" s="197"/>
      <c r="AW46" s="197"/>
      <c r="AX46" s="197"/>
      <c r="AY46" s="197"/>
      <c r="AZ46" s="197"/>
      <c r="BA46" s="197"/>
      <c r="BB46" s="197"/>
      <c r="BC46" s="197"/>
      <c r="BD46" s="197"/>
      <c r="BE46" s="197"/>
      <c r="BF46" s="197"/>
      <c r="BG46" s="197"/>
      <c r="BH46" s="197"/>
      <c r="BI46" s="197"/>
      <c r="BJ46" s="197"/>
      <c r="BK46" s="197"/>
      <c r="BL46" s="197"/>
      <c r="BM46" s="197"/>
      <c r="BN46" s="197"/>
      <c r="BO46" s="197"/>
      <c r="BP46" s="197"/>
      <c r="BQ46" s="197"/>
    </row>
    <row r="47" spans="1:69" x14ac:dyDescent="0.3">
      <c r="A47" s="197"/>
      <c r="B47" s="197"/>
      <c r="C47" s="197"/>
      <c r="D47" s="197"/>
      <c r="E47" s="197"/>
      <c r="F47" s="197"/>
      <c r="G47" s="197"/>
      <c r="H47" s="197"/>
      <c r="I47" s="197"/>
      <c r="J47" s="197"/>
      <c r="K47" s="197"/>
      <c r="L47" s="197"/>
      <c r="M47" s="197"/>
      <c r="N47" s="197"/>
      <c r="O47" s="197"/>
      <c r="P47" s="197"/>
      <c r="Q47" s="197"/>
      <c r="R47" s="197"/>
      <c r="S47" s="197"/>
      <c r="T47" s="197"/>
      <c r="U47" s="197"/>
      <c r="V47" s="197"/>
      <c r="W47" s="197"/>
      <c r="X47" s="197"/>
      <c r="Y47" s="197"/>
      <c r="Z47" s="197"/>
      <c r="AA47" s="197"/>
      <c r="AB47" s="197"/>
      <c r="AC47" s="197"/>
      <c r="AD47" s="197"/>
      <c r="AE47" s="197"/>
      <c r="AF47" s="197"/>
      <c r="AG47" s="197"/>
      <c r="AH47" s="197"/>
      <c r="AI47" s="197"/>
      <c r="AJ47" s="197"/>
      <c r="AK47" s="197"/>
      <c r="AL47" s="197"/>
      <c r="AM47" s="197"/>
      <c r="AN47" s="197"/>
      <c r="AO47" s="197"/>
      <c r="AP47" s="197"/>
      <c r="AQ47" s="197"/>
      <c r="AR47" s="197"/>
      <c r="AS47" s="197"/>
      <c r="AT47" s="197"/>
      <c r="AU47" s="197"/>
      <c r="AV47" s="197"/>
      <c r="AW47" s="197"/>
      <c r="AX47" s="197"/>
      <c r="AY47" s="197"/>
      <c r="AZ47" s="197"/>
      <c r="BA47" s="197"/>
      <c r="BB47" s="197"/>
      <c r="BC47" s="197"/>
      <c r="BD47" s="197"/>
      <c r="BE47" s="197"/>
      <c r="BF47" s="197"/>
      <c r="BG47" s="197"/>
      <c r="BH47" s="197"/>
      <c r="BI47" s="197"/>
      <c r="BJ47" s="197"/>
      <c r="BK47" s="197"/>
      <c r="BL47" s="197"/>
      <c r="BM47" s="197"/>
      <c r="BN47" s="197"/>
      <c r="BO47" s="197"/>
      <c r="BP47" s="197"/>
      <c r="BQ47" s="197"/>
    </row>
    <row r="48" spans="1:69" x14ac:dyDescent="0.3">
      <c r="A48" s="197"/>
      <c r="B48" s="197"/>
      <c r="C48" s="197"/>
      <c r="D48" s="197"/>
      <c r="E48" s="197"/>
      <c r="F48" s="197"/>
      <c r="G48" s="197"/>
      <c r="H48" s="197"/>
      <c r="I48" s="197"/>
      <c r="J48" s="197"/>
      <c r="K48" s="197"/>
      <c r="L48" s="197"/>
      <c r="M48" s="197"/>
      <c r="N48" s="197"/>
      <c r="O48" s="197"/>
      <c r="P48" s="197"/>
      <c r="Q48" s="197"/>
      <c r="R48" s="197"/>
      <c r="S48" s="197"/>
      <c r="T48" s="197"/>
      <c r="U48" s="197"/>
      <c r="V48" s="197"/>
      <c r="W48" s="197"/>
      <c r="X48" s="197"/>
      <c r="Y48" s="197"/>
      <c r="Z48" s="197"/>
      <c r="AA48" s="197"/>
      <c r="AB48" s="197"/>
      <c r="AC48" s="197"/>
      <c r="AD48" s="197"/>
      <c r="AE48" s="197"/>
      <c r="AF48" s="197"/>
      <c r="AG48" s="197"/>
      <c r="AH48" s="197"/>
      <c r="AI48" s="197"/>
      <c r="AJ48" s="197"/>
      <c r="AK48" s="197"/>
      <c r="AL48" s="197"/>
      <c r="AM48" s="197"/>
      <c r="AN48" s="197"/>
      <c r="AO48" s="197"/>
      <c r="AP48" s="197"/>
      <c r="AQ48" s="197"/>
      <c r="AR48" s="197"/>
      <c r="AS48" s="197"/>
      <c r="AT48" s="197"/>
      <c r="AU48" s="197"/>
      <c r="AV48" s="197"/>
      <c r="AW48" s="197"/>
      <c r="AX48" s="197"/>
      <c r="AY48" s="197"/>
      <c r="AZ48" s="197"/>
      <c r="BA48" s="197"/>
      <c r="BB48" s="197"/>
      <c r="BC48" s="197"/>
      <c r="BD48" s="197"/>
      <c r="BE48" s="197"/>
      <c r="BF48" s="197"/>
      <c r="BG48" s="197"/>
      <c r="BH48" s="197"/>
      <c r="BI48" s="197"/>
      <c r="BJ48" s="197"/>
      <c r="BK48" s="197"/>
      <c r="BL48" s="197"/>
      <c r="BM48" s="197"/>
      <c r="BN48" s="197"/>
      <c r="BO48" s="197"/>
      <c r="BP48" s="197"/>
      <c r="BQ48" s="197"/>
    </row>
    <row r="49" spans="1:69" x14ac:dyDescent="0.3">
      <c r="A49" s="197"/>
      <c r="B49" s="197"/>
      <c r="C49" s="197"/>
      <c r="D49" s="197"/>
      <c r="E49" s="197"/>
      <c r="F49" s="197"/>
      <c r="G49" s="197"/>
      <c r="H49" s="197"/>
      <c r="I49" s="197"/>
      <c r="J49" s="197"/>
      <c r="K49" s="197"/>
      <c r="L49" s="197"/>
      <c r="M49" s="197"/>
      <c r="N49" s="197"/>
      <c r="O49" s="197"/>
      <c r="P49" s="197"/>
      <c r="Q49" s="197"/>
      <c r="R49" s="197"/>
      <c r="S49" s="197"/>
      <c r="T49" s="197"/>
      <c r="U49" s="197"/>
      <c r="V49" s="197"/>
      <c r="W49" s="197"/>
      <c r="X49" s="197"/>
      <c r="Y49" s="197"/>
      <c r="Z49" s="197"/>
      <c r="AA49" s="197"/>
      <c r="AB49" s="197"/>
      <c r="AC49" s="197"/>
      <c r="AD49" s="197"/>
      <c r="AE49" s="197"/>
      <c r="AF49" s="197"/>
      <c r="AG49" s="197"/>
      <c r="AH49" s="197"/>
      <c r="AI49" s="197"/>
      <c r="AJ49" s="197"/>
      <c r="AK49" s="197"/>
      <c r="AL49" s="197"/>
      <c r="AM49" s="197"/>
      <c r="AN49" s="197"/>
      <c r="AO49" s="197"/>
      <c r="AP49" s="197"/>
      <c r="AQ49" s="197"/>
      <c r="AR49" s="197"/>
      <c r="AS49" s="197"/>
      <c r="AT49" s="197"/>
      <c r="AU49" s="197"/>
      <c r="AV49" s="197"/>
      <c r="AW49" s="197"/>
      <c r="AX49" s="197"/>
      <c r="AY49" s="197"/>
      <c r="AZ49" s="197"/>
      <c r="BA49" s="197"/>
      <c r="BB49" s="197"/>
      <c r="BC49" s="197"/>
      <c r="BD49" s="197"/>
      <c r="BE49" s="197"/>
      <c r="BF49" s="197"/>
      <c r="BG49" s="197"/>
      <c r="BH49" s="197"/>
      <c r="BI49" s="197"/>
      <c r="BJ49" s="197"/>
      <c r="BK49" s="197"/>
      <c r="BL49" s="197"/>
      <c r="BM49" s="197"/>
      <c r="BN49" s="197"/>
      <c r="BO49" s="197"/>
      <c r="BP49" s="197"/>
      <c r="BQ49" s="197"/>
    </row>
    <row r="50" spans="1:69" x14ac:dyDescent="0.3">
      <c r="A50" s="197"/>
      <c r="B50" s="197"/>
      <c r="C50" s="197"/>
      <c r="D50" s="197"/>
      <c r="E50" s="197"/>
      <c r="F50" s="197"/>
      <c r="G50" s="197"/>
      <c r="H50" s="197"/>
      <c r="I50" s="197"/>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7"/>
      <c r="AL50" s="197"/>
      <c r="AM50" s="197"/>
      <c r="AN50" s="197"/>
      <c r="AO50" s="197"/>
      <c r="AP50" s="197"/>
      <c r="AQ50" s="197"/>
      <c r="AR50" s="197"/>
      <c r="AS50" s="197"/>
      <c r="AT50" s="197"/>
      <c r="AU50" s="197"/>
      <c r="AV50" s="197"/>
      <c r="AW50" s="197"/>
      <c r="AX50" s="197"/>
      <c r="AY50" s="197"/>
      <c r="AZ50" s="197"/>
      <c r="BA50" s="197"/>
      <c r="BB50" s="197"/>
      <c r="BC50" s="197"/>
      <c r="BD50" s="197"/>
      <c r="BE50" s="197"/>
      <c r="BF50" s="197"/>
      <c r="BG50" s="197"/>
      <c r="BH50" s="197"/>
      <c r="BI50" s="197"/>
      <c r="BJ50" s="197"/>
      <c r="BK50" s="197"/>
      <c r="BL50" s="197"/>
      <c r="BM50" s="197"/>
      <c r="BN50" s="197"/>
      <c r="BO50" s="197"/>
      <c r="BP50" s="197"/>
      <c r="BQ50" s="197"/>
    </row>
    <row r="51" spans="1:69" x14ac:dyDescent="0.3">
      <c r="A51" s="197"/>
      <c r="B51" s="197"/>
      <c r="C51" s="197"/>
      <c r="D51" s="197"/>
      <c r="E51" s="197"/>
      <c r="F51" s="197"/>
      <c r="G51" s="197"/>
      <c r="H51" s="197"/>
      <c r="I51" s="197"/>
      <c r="J51" s="197"/>
      <c r="K51" s="197"/>
      <c r="L51" s="197"/>
      <c r="M51" s="197"/>
      <c r="N51" s="197"/>
      <c r="O51" s="197"/>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7"/>
      <c r="AP51" s="197"/>
      <c r="AQ51" s="197"/>
      <c r="AR51" s="197"/>
      <c r="AS51" s="197"/>
      <c r="AT51" s="197"/>
      <c r="AU51" s="197"/>
      <c r="AV51" s="197"/>
      <c r="AW51" s="197"/>
      <c r="AX51" s="197"/>
      <c r="AY51" s="197"/>
      <c r="AZ51" s="197"/>
      <c r="BA51" s="197"/>
      <c r="BB51" s="197"/>
      <c r="BC51" s="197"/>
      <c r="BD51" s="197"/>
      <c r="BE51" s="197"/>
      <c r="BF51" s="197"/>
      <c r="BG51" s="197"/>
      <c r="BH51" s="197"/>
      <c r="BI51" s="197"/>
      <c r="BJ51" s="197"/>
      <c r="BK51" s="197"/>
      <c r="BL51" s="197"/>
      <c r="BM51" s="197"/>
      <c r="BN51" s="197"/>
      <c r="BO51" s="197"/>
      <c r="BP51" s="197"/>
      <c r="BQ51" s="197"/>
    </row>
    <row r="52" spans="1:69" x14ac:dyDescent="0.3">
      <c r="A52" s="197"/>
      <c r="B52" s="197"/>
      <c r="C52" s="197"/>
      <c r="D52" s="197"/>
      <c r="E52" s="197"/>
      <c r="F52" s="197"/>
      <c r="G52" s="197"/>
      <c r="H52" s="197"/>
      <c r="I52" s="197"/>
      <c r="J52" s="197"/>
      <c r="K52" s="197"/>
      <c r="L52" s="197"/>
      <c r="M52" s="197"/>
      <c r="N52" s="197"/>
      <c r="O52" s="197"/>
      <c r="P52" s="197"/>
      <c r="Q52" s="197"/>
      <c r="R52" s="197"/>
      <c r="S52" s="197"/>
      <c r="T52" s="197"/>
      <c r="U52" s="197"/>
      <c r="V52" s="197"/>
      <c r="W52" s="197"/>
      <c r="X52" s="197"/>
      <c r="Y52" s="197"/>
      <c r="Z52" s="197"/>
      <c r="AA52" s="197"/>
      <c r="AB52" s="197"/>
      <c r="AC52" s="197"/>
      <c r="AD52" s="197"/>
      <c r="AE52" s="197"/>
      <c r="AF52" s="197"/>
      <c r="AG52" s="197"/>
      <c r="AH52" s="197"/>
      <c r="AI52" s="197"/>
      <c r="AJ52" s="197"/>
      <c r="AK52" s="197"/>
      <c r="AL52" s="197"/>
      <c r="AM52" s="197"/>
      <c r="AN52" s="197"/>
      <c r="AO52" s="197"/>
      <c r="AP52" s="197"/>
      <c r="AQ52" s="197"/>
      <c r="AR52" s="197"/>
      <c r="AS52" s="197"/>
      <c r="AT52" s="197"/>
      <c r="AU52" s="197"/>
      <c r="AV52" s="197"/>
      <c r="AW52" s="197"/>
      <c r="AX52" s="197"/>
      <c r="AY52" s="197"/>
      <c r="AZ52" s="197"/>
      <c r="BA52" s="197"/>
      <c r="BB52" s="197"/>
      <c r="BC52" s="197"/>
      <c r="BD52" s="197"/>
      <c r="BE52" s="197"/>
      <c r="BF52" s="197"/>
      <c r="BG52" s="197"/>
      <c r="BH52" s="197"/>
      <c r="BI52" s="197"/>
      <c r="BJ52" s="197"/>
      <c r="BK52" s="197"/>
      <c r="BL52" s="197"/>
      <c r="BM52" s="197"/>
      <c r="BN52" s="197"/>
      <c r="BO52" s="197"/>
      <c r="BP52" s="197"/>
      <c r="BQ52" s="197"/>
    </row>
    <row r="53" spans="1:69" x14ac:dyDescent="0.3">
      <c r="A53" s="197"/>
      <c r="B53" s="197"/>
      <c r="C53" s="197"/>
      <c r="D53" s="197"/>
      <c r="E53" s="197"/>
      <c r="F53" s="197"/>
      <c r="G53" s="197"/>
      <c r="H53" s="197"/>
      <c r="I53" s="197"/>
      <c r="J53" s="197"/>
      <c r="K53" s="197"/>
      <c r="L53" s="197"/>
      <c r="M53" s="197"/>
      <c r="N53" s="197"/>
      <c r="O53" s="197"/>
      <c r="P53" s="197"/>
      <c r="Q53" s="197"/>
      <c r="R53" s="197"/>
      <c r="S53" s="197"/>
      <c r="T53" s="197"/>
      <c r="U53" s="197"/>
      <c r="V53" s="197"/>
      <c r="W53" s="197"/>
      <c r="X53" s="197"/>
      <c r="Y53" s="197"/>
      <c r="Z53" s="197"/>
      <c r="AA53" s="197"/>
      <c r="AB53" s="197"/>
      <c r="AC53" s="197"/>
      <c r="AD53" s="197"/>
      <c r="AE53" s="197"/>
      <c r="AF53" s="197"/>
      <c r="AG53" s="197"/>
      <c r="AH53" s="197"/>
      <c r="AI53" s="197"/>
      <c r="AJ53" s="197"/>
      <c r="AK53" s="197"/>
      <c r="AL53" s="197"/>
      <c r="AM53" s="197"/>
      <c r="AN53" s="197"/>
      <c r="AO53" s="197"/>
      <c r="AP53" s="197"/>
      <c r="AQ53" s="197"/>
      <c r="AR53" s="197"/>
      <c r="AS53" s="197"/>
      <c r="AT53" s="197"/>
      <c r="AU53" s="197"/>
      <c r="AV53" s="197"/>
      <c r="AW53" s="197"/>
      <c r="AX53" s="197"/>
      <c r="AY53" s="197"/>
      <c r="AZ53" s="197"/>
      <c r="BA53" s="197"/>
      <c r="BB53" s="197"/>
      <c r="BC53" s="197"/>
      <c r="BD53" s="197"/>
      <c r="BE53" s="197"/>
      <c r="BF53" s="197"/>
      <c r="BG53" s="197"/>
      <c r="BH53" s="197"/>
      <c r="BI53" s="197"/>
      <c r="BJ53" s="197"/>
      <c r="BK53" s="197"/>
      <c r="BL53" s="197"/>
      <c r="BM53" s="197"/>
      <c r="BN53" s="197"/>
      <c r="BO53" s="197"/>
      <c r="BP53" s="197"/>
      <c r="BQ53" s="197"/>
    </row>
    <row r="54" spans="1:69" x14ac:dyDescent="0.3">
      <c r="A54" s="197"/>
      <c r="B54" s="197"/>
      <c r="C54" s="197"/>
      <c r="D54" s="197"/>
      <c r="E54" s="197"/>
      <c r="F54" s="197"/>
      <c r="G54" s="197"/>
      <c r="H54" s="197"/>
      <c r="I54" s="197"/>
      <c r="J54" s="197"/>
      <c r="K54" s="197"/>
      <c r="L54" s="197"/>
      <c r="M54" s="197"/>
      <c r="N54" s="197"/>
      <c r="O54" s="197"/>
      <c r="P54" s="197"/>
      <c r="Q54" s="197"/>
      <c r="R54" s="197"/>
      <c r="S54" s="197"/>
      <c r="T54" s="197"/>
      <c r="U54" s="197"/>
      <c r="V54" s="197"/>
      <c r="W54" s="197"/>
      <c r="X54" s="197"/>
      <c r="Y54" s="197"/>
      <c r="Z54" s="197"/>
      <c r="AA54" s="197"/>
      <c r="AB54" s="197"/>
      <c r="AC54" s="197"/>
      <c r="AD54" s="197"/>
      <c r="AE54" s="197"/>
      <c r="AF54" s="197"/>
      <c r="AG54" s="197"/>
      <c r="AH54" s="197"/>
      <c r="AI54" s="197"/>
      <c r="AJ54" s="197"/>
      <c r="AK54" s="197"/>
      <c r="AL54" s="197"/>
      <c r="AM54" s="197"/>
      <c r="AN54" s="197"/>
      <c r="AO54" s="197"/>
      <c r="AP54" s="197"/>
      <c r="AQ54" s="197"/>
      <c r="AR54" s="197"/>
      <c r="AS54" s="197"/>
      <c r="AT54" s="197"/>
      <c r="AU54" s="197"/>
      <c r="AV54" s="197"/>
      <c r="AW54" s="197"/>
      <c r="AX54" s="197"/>
      <c r="AY54" s="197"/>
      <c r="AZ54" s="197"/>
      <c r="BA54" s="197"/>
      <c r="BB54" s="197"/>
      <c r="BC54" s="197"/>
      <c r="BD54" s="197"/>
      <c r="BE54" s="197"/>
      <c r="BF54" s="197"/>
      <c r="BG54" s="197"/>
      <c r="BH54" s="197"/>
      <c r="BI54" s="197"/>
      <c r="BJ54" s="197"/>
      <c r="BK54" s="197"/>
      <c r="BL54" s="197"/>
      <c r="BM54" s="197"/>
      <c r="BN54" s="197"/>
      <c r="BO54" s="197"/>
      <c r="BP54" s="197"/>
      <c r="BQ54" s="197"/>
    </row>
    <row r="55" spans="1:69" x14ac:dyDescent="0.3">
      <c r="A55" s="197"/>
      <c r="B55" s="197"/>
      <c r="C55" s="197"/>
      <c r="D55" s="197"/>
      <c r="E55" s="197"/>
      <c r="F55" s="197"/>
      <c r="G55" s="197"/>
      <c r="H55" s="197"/>
      <c r="I55" s="197"/>
      <c r="J55" s="197"/>
      <c r="K55" s="197"/>
      <c r="L55" s="197"/>
      <c r="M55" s="197"/>
      <c r="N55" s="197"/>
      <c r="O55" s="197"/>
      <c r="P55" s="197"/>
      <c r="Q55" s="197"/>
      <c r="R55" s="197"/>
      <c r="S55" s="197"/>
      <c r="T55" s="197"/>
      <c r="U55" s="197"/>
      <c r="V55" s="197"/>
      <c r="W55" s="197"/>
      <c r="X55" s="197"/>
      <c r="Y55" s="197"/>
      <c r="Z55" s="197"/>
      <c r="AA55" s="197"/>
      <c r="AB55" s="197"/>
      <c r="AC55" s="197"/>
      <c r="AD55" s="197"/>
      <c r="AE55" s="197"/>
      <c r="AF55" s="197"/>
      <c r="AG55" s="197"/>
      <c r="AH55" s="197"/>
      <c r="AI55" s="197"/>
      <c r="AJ55" s="197"/>
      <c r="AK55" s="197"/>
      <c r="AL55" s="197"/>
      <c r="AM55" s="197"/>
      <c r="AN55" s="197"/>
      <c r="AO55" s="197"/>
      <c r="AP55" s="197"/>
      <c r="AQ55" s="197"/>
      <c r="AR55" s="197"/>
      <c r="AS55" s="197"/>
      <c r="AT55" s="197"/>
      <c r="AU55" s="197"/>
      <c r="AV55" s="197"/>
      <c r="AW55" s="197"/>
      <c r="AX55" s="197"/>
      <c r="AY55" s="197"/>
      <c r="AZ55" s="197"/>
      <c r="BA55" s="197"/>
      <c r="BB55" s="197"/>
      <c r="BC55" s="197"/>
      <c r="BD55" s="197"/>
      <c r="BE55" s="197"/>
      <c r="BF55" s="197"/>
      <c r="BG55" s="197"/>
      <c r="BH55" s="197"/>
      <c r="BI55" s="197"/>
      <c r="BJ55" s="197"/>
      <c r="BK55" s="197"/>
      <c r="BL55" s="197"/>
      <c r="BM55" s="197"/>
      <c r="BN55" s="197"/>
      <c r="BO55" s="197"/>
      <c r="BP55" s="197"/>
      <c r="BQ55" s="197"/>
    </row>
    <row r="56" spans="1:69" x14ac:dyDescent="0.3">
      <c r="A56" s="197"/>
      <c r="B56" s="197"/>
      <c r="C56" s="197"/>
      <c r="D56" s="197"/>
      <c r="E56" s="197"/>
      <c r="F56" s="197"/>
      <c r="G56" s="197"/>
      <c r="H56" s="197"/>
      <c r="I56" s="197"/>
      <c r="J56" s="197"/>
      <c r="K56" s="197"/>
      <c r="L56" s="197"/>
      <c r="M56" s="197"/>
      <c r="N56" s="197"/>
      <c r="O56" s="197"/>
      <c r="P56" s="197"/>
      <c r="Q56" s="197"/>
      <c r="R56" s="197"/>
      <c r="S56" s="197"/>
      <c r="T56" s="197"/>
      <c r="U56" s="197"/>
      <c r="V56" s="197"/>
      <c r="W56" s="197"/>
      <c r="X56" s="197"/>
      <c r="Y56" s="197"/>
      <c r="Z56" s="197"/>
      <c r="AA56" s="197"/>
      <c r="AB56" s="197"/>
      <c r="AC56" s="197"/>
      <c r="AD56" s="197"/>
      <c r="AE56" s="197"/>
      <c r="AF56" s="197"/>
      <c r="AG56" s="197"/>
      <c r="AH56" s="197"/>
      <c r="AI56" s="197"/>
      <c r="AJ56" s="197"/>
      <c r="AK56" s="197"/>
      <c r="AL56" s="197"/>
      <c r="AM56" s="197"/>
      <c r="AN56" s="197"/>
      <c r="AO56" s="197"/>
      <c r="AP56" s="197"/>
      <c r="AQ56" s="197"/>
      <c r="AR56" s="197"/>
      <c r="AS56" s="197"/>
      <c r="AT56" s="197"/>
      <c r="AU56" s="197"/>
      <c r="AV56" s="197"/>
      <c r="AW56" s="197"/>
      <c r="AX56" s="197"/>
      <c r="AY56" s="197"/>
      <c r="AZ56" s="197"/>
      <c r="BA56" s="197"/>
      <c r="BB56" s="197"/>
      <c r="BC56" s="197"/>
      <c r="BD56" s="197"/>
      <c r="BE56" s="197"/>
      <c r="BF56" s="197"/>
      <c r="BG56" s="197"/>
      <c r="BH56" s="197"/>
      <c r="BI56" s="197"/>
      <c r="BJ56" s="197"/>
      <c r="BK56" s="197"/>
      <c r="BL56" s="197"/>
      <c r="BM56" s="197"/>
      <c r="BN56" s="197"/>
      <c r="BO56" s="197"/>
      <c r="BP56" s="197"/>
      <c r="BQ56" s="197"/>
    </row>
    <row r="57" spans="1:69" x14ac:dyDescent="0.3">
      <c r="A57" s="197"/>
      <c r="B57" s="197"/>
      <c r="C57" s="197"/>
      <c r="D57" s="197"/>
      <c r="E57" s="197"/>
      <c r="F57" s="197"/>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7"/>
      <c r="AE57" s="197"/>
      <c r="AF57" s="197"/>
      <c r="AG57" s="197"/>
      <c r="AH57" s="197"/>
      <c r="AI57" s="197"/>
      <c r="AJ57" s="197"/>
      <c r="AK57" s="197"/>
      <c r="AL57" s="197"/>
      <c r="AM57" s="197"/>
      <c r="AN57" s="197"/>
      <c r="AO57" s="197"/>
      <c r="AP57" s="197"/>
      <c r="AQ57" s="197"/>
      <c r="AR57" s="197"/>
      <c r="AS57" s="197"/>
      <c r="AT57" s="197"/>
      <c r="AU57" s="197"/>
      <c r="AV57" s="197"/>
      <c r="AW57" s="197"/>
      <c r="AX57" s="197"/>
      <c r="AY57" s="197"/>
      <c r="AZ57" s="197"/>
      <c r="BA57" s="197"/>
      <c r="BB57" s="197"/>
      <c r="BC57" s="197"/>
      <c r="BD57" s="197"/>
      <c r="BE57" s="197"/>
      <c r="BF57" s="197"/>
      <c r="BG57" s="197"/>
      <c r="BH57" s="197"/>
      <c r="BI57" s="197"/>
      <c r="BJ57" s="197"/>
      <c r="BK57" s="197"/>
      <c r="BL57" s="197"/>
      <c r="BM57" s="197"/>
      <c r="BN57" s="197"/>
      <c r="BO57" s="197"/>
      <c r="BP57" s="197"/>
      <c r="BQ57" s="197"/>
    </row>
    <row r="58" spans="1:69" x14ac:dyDescent="0.3">
      <c r="A58" s="197"/>
      <c r="B58" s="197"/>
      <c r="C58" s="197"/>
      <c r="D58" s="197"/>
      <c r="E58" s="197"/>
      <c r="F58" s="197"/>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7"/>
      <c r="AE58" s="197"/>
      <c r="AF58" s="197"/>
      <c r="AG58" s="197"/>
      <c r="AH58" s="197"/>
      <c r="AI58" s="197"/>
      <c r="AJ58" s="197"/>
      <c r="AK58" s="197"/>
      <c r="AL58" s="197"/>
      <c r="AM58" s="197"/>
      <c r="AN58" s="197"/>
      <c r="AO58" s="197"/>
      <c r="AP58" s="197"/>
      <c r="AQ58" s="197"/>
      <c r="AR58" s="197"/>
      <c r="AS58" s="197"/>
      <c r="AT58" s="197"/>
      <c r="AU58" s="197"/>
      <c r="AV58" s="197"/>
      <c r="AW58" s="197"/>
      <c r="AX58" s="197"/>
      <c r="AY58" s="197"/>
      <c r="AZ58" s="197"/>
      <c r="BA58" s="197"/>
      <c r="BB58" s="197"/>
      <c r="BC58" s="197"/>
      <c r="BD58" s="197"/>
      <c r="BE58" s="197"/>
      <c r="BF58" s="197"/>
      <c r="BG58" s="197"/>
      <c r="BH58" s="197"/>
      <c r="BI58" s="197"/>
      <c r="BJ58" s="197"/>
      <c r="BK58" s="197"/>
      <c r="BL58" s="197"/>
      <c r="BM58" s="197"/>
      <c r="BN58" s="197"/>
      <c r="BO58" s="197"/>
      <c r="BP58" s="197"/>
      <c r="BQ58" s="197"/>
    </row>
    <row r="59" spans="1:69" x14ac:dyDescent="0.3">
      <c r="A59" s="197"/>
      <c r="B59" s="197"/>
      <c r="C59" s="197"/>
      <c r="D59" s="197"/>
      <c r="E59" s="197"/>
      <c r="F59" s="197"/>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7"/>
      <c r="AE59" s="197"/>
      <c r="AF59" s="197"/>
      <c r="AG59" s="197"/>
      <c r="AH59" s="197"/>
      <c r="AI59" s="197"/>
      <c r="AJ59" s="197"/>
      <c r="AK59" s="197"/>
      <c r="AL59" s="197"/>
      <c r="AM59" s="197"/>
      <c r="AN59" s="197"/>
      <c r="AO59" s="197"/>
      <c r="AP59" s="197"/>
      <c r="AQ59" s="197"/>
      <c r="AR59" s="197"/>
      <c r="AS59" s="197"/>
      <c r="AT59" s="197"/>
      <c r="AU59" s="197"/>
      <c r="AV59" s="197"/>
      <c r="AW59" s="197"/>
      <c r="AX59" s="197"/>
      <c r="AY59" s="197"/>
      <c r="AZ59" s="197"/>
      <c r="BA59" s="197"/>
      <c r="BB59" s="197"/>
      <c r="BC59" s="197"/>
      <c r="BD59" s="197"/>
      <c r="BE59" s="197"/>
      <c r="BF59" s="197"/>
      <c r="BG59" s="197"/>
      <c r="BH59" s="197"/>
      <c r="BI59" s="197"/>
      <c r="BJ59" s="197"/>
      <c r="BK59" s="197"/>
      <c r="BL59" s="197"/>
      <c r="BM59" s="197"/>
      <c r="BN59" s="197"/>
      <c r="BO59" s="197"/>
      <c r="BP59" s="197"/>
      <c r="BQ59" s="197"/>
    </row>
    <row r="60" spans="1:69" x14ac:dyDescent="0.3">
      <c r="J60" s="197"/>
      <c r="K60" s="197"/>
      <c r="L60" s="197"/>
      <c r="M60" s="197"/>
      <c r="N60" s="197"/>
      <c r="O60" s="197"/>
      <c r="P60" s="197"/>
      <c r="Q60" s="197"/>
      <c r="R60" s="197"/>
      <c r="S60" s="197"/>
      <c r="T60" s="197"/>
      <c r="U60" s="197"/>
      <c r="V60" s="197"/>
      <c r="W60" s="197"/>
      <c r="X60" s="197"/>
      <c r="Y60" s="197"/>
      <c r="Z60" s="197"/>
      <c r="AA60" s="197"/>
      <c r="AB60" s="197"/>
      <c r="AC60" s="197"/>
      <c r="AD60" s="197"/>
      <c r="AE60" s="197"/>
      <c r="AF60" s="197"/>
      <c r="AG60" s="197"/>
      <c r="AH60" s="197"/>
      <c r="AI60" s="197"/>
      <c r="AJ60" s="197"/>
      <c r="AK60" s="197"/>
      <c r="AL60" s="197"/>
      <c r="AM60" s="197"/>
      <c r="AN60" s="197"/>
      <c r="AO60" s="197"/>
      <c r="AP60" s="197"/>
      <c r="AQ60" s="197"/>
      <c r="AR60" s="197"/>
      <c r="AS60" s="197"/>
      <c r="AT60" s="197"/>
      <c r="AU60" s="197"/>
      <c r="AV60" s="197"/>
      <c r="AW60" s="197"/>
      <c r="AX60" s="197"/>
      <c r="AY60" s="197"/>
      <c r="AZ60" s="197"/>
      <c r="BA60" s="197"/>
      <c r="BB60" s="197"/>
      <c r="BC60" s="197"/>
      <c r="BD60" s="197"/>
      <c r="BE60" s="197"/>
      <c r="BF60" s="197"/>
      <c r="BG60" s="197"/>
      <c r="BH60" s="197"/>
      <c r="BI60" s="197"/>
      <c r="BJ60" s="197"/>
      <c r="BK60" s="197"/>
      <c r="BL60" s="197"/>
      <c r="BM60" s="197"/>
      <c r="BN60" s="197"/>
      <c r="BO60" s="197"/>
      <c r="BP60" s="197"/>
      <c r="BQ60" s="197"/>
    </row>
    <row r="61" spans="1:69" x14ac:dyDescent="0.3">
      <c r="J61" s="197"/>
      <c r="K61" s="197"/>
      <c r="L61" s="197"/>
      <c r="M61" s="197"/>
      <c r="N61" s="197"/>
      <c r="O61" s="197"/>
      <c r="P61" s="197"/>
      <c r="Q61" s="197"/>
      <c r="R61" s="197"/>
      <c r="S61" s="197"/>
      <c r="T61" s="197"/>
      <c r="U61" s="197"/>
      <c r="V61" s="197"/>
      <c r="W61" s="197"/>
      <c r="X61" s="197"/>
      <c r="Y61" s="197"/>
      <c r="Z61" s="197"/>
      <c r="AA61" s="197"/>
      <c r="AB61" s="197"/>
      <c r="AC61" s="197"/>
      <c r="AD61" s="197"/>
      <c r="AE61" s="197"/>
      <c r="AF61" s="197"/>
      <c r="AG61" s="197"/>
      <c r="AH61" s="197"/>
      <c r="AI61" s="197"/>
      <c r="AJ61" s="197"/>
      <c r="AK61" s="197"/>
      <c r="AL61" s="197"/>
      <c r="AM61" s="197"/>
      <c r="AN61" s="197"/>
      <c r="AO61" s="197"/>
      <c r="AP61" s="197"/>
      <c r="AQ61" s="197"/>
      <c r="AR61" s="197"/>
      <c r="AS61" s="197"/>
      <c r="AT61" s="197"/>
      <c r="AU61" s="197"/>
      <c r="AV61" s="197"/>
      <c r="AW61" s="197"/>
      <c r="AX61" s="197"/>
      <c r="AY61" s="197"/>
      <c r="AZ61" s="197"/>
      <c r="BA61" s="197"/>
      <c r="BB61" s="197"/>
      <c r="BC61" s="197"/>
      <c r="BD61" s="197"/>
      <c r="BE61" s="197"/>
      <c r="BF61" s="197"/>
      <c r="BG61" s="197"/>
      <c r="BH61" s="197"/>
      <c r="BI61" s="197"/>
      <c r="BJ61" s="197"/>
      <c r="BK61" s="197"/>
      <c r="BL61" s="197"/>
      <c r="BM61" s="197"/>
      <c r="BN61" s="197"/>
      <c r="BO61" s="197"/>
      <c r="BP61" s="197"/>
      <c r="BQ61" s="197"/>
    </row>
    <row r="62" spans="1:69" x14ac:dyDescent="0.3">
      <c r="J62" s="197"/>
      <c r="K62" s="197"/>
      <c r="L62" s="197"/>
      <c r="M62" s="197"/>
      <c r="N62" s="197"/>
      <c r="O62" s="197"/>
      <c r="P62" s="197"/>
      <c r="Q62" s="197"/>
      <c r="R62" s="197"/>
      <c r="S62" s="197"/>
      <c r="T62" s="197"/>
      <c r="U62" s="197"/>
      <c r="V62" s="197"/>
      <c r="W62" s="197"/>
      <c r="X62" s="197"/>
      <c r="Y62" s="197"/>
      <c r="Z62" s="197"/>
      <c r="AA62" s="197"/>
      <c r="AB62" s="197"/>
      <c r="AC62" s="197"/>
      <c r="AD62" s="197"/>
      <c r="AE62" s="197"/>
      <c r="AF62" s="197"/>
      <c r="AG62" s="197"/>
      <c r="AH62" s="197"/>
      <c r="AI62" s="197"/>
      <c r="AJ62" s="197"/>
      <c r="AK62" s="197"/>
      <c r="AL62" s="197"/>
      <c r="AM62" s="197"/>
      <c r="AN62" s="197"/>
      <c r="AO62" s="197"/>
      <c r="AP62" s="197"/>
      <c r="AQ62" s="197"/>
      <c r="AR62" s="197"/>
      <c r="AS62" s="197"/>
      <c r="AT62" s="197"/>
      <c r="AU62" s="197"/>
      <c r="AV62" s="197"/>
      <c r="AW62" s="197"/>
      <c r="AX62" s="197"/>
      <c r="AY62" s="197"/>
      <c r="AZ62" s="197"/>
      <c r="BA62" s="197"/>
      <c r="BB62" s="197"/>
      <c r="BC62" s="197"/>
      <c r="BD62" s="197"/>
      <c r="BE62" s="197"/>
      <c r="BF62" s="197"/>
      <c r="BG62" s="197"/>
      <c r="BH62" s="197"/>
      <c r="BI62" s="197"/>
      <c r="BJ62" s="197"/>
      <c r="BK62" s="197"/>
      <c r="BL62" s="197"/>
      <c r="BM62" s="197"/>
      <c r="BN62" s="197"/>
      <c r="BO62" s="197"/>
      <c r="BP62" s="197"/>
      <c r="BQ62" s="197"/>
    </row>
    <row r="63" spans="1:69" x14ac:dyDescent="0.3">
      <c r="J63" s="197"/>
      <c r="K63" s="197"/>
      <c r="L63" s="197"/>
      <c r="M63" s="197"/>
      <c r="N63" s="197"/>
      <c r="O63" s="197"/>
      <c r="P63" s="197"/>
      <c r="Q63" s="197"/>
      <c r="R63" s="197"/>
      <c r="S63" s="197"/>
      <c r="T63" s="197"/>
      <c r="U63" s="197"/>
      <c r="V63" s="197"/>
      <c r="W63" s="197"/>
      <c r="X63" s="197"/>
      <c r="Y63" s="197"/>
      <c r="Z63" s="197"/>
      <c r="AA63" s="197"/>
      <c r="AB63" s="197"/>
      <c r="AC63" s="197"/>
      <c r="AD63" s="197"/>
      <c r="AE63" s="197"/>
      <c r="AF63" s="197"/>
      <c r="AG63" s="197"/>
      <c r="AH63" s="197"/>
      <c r="AI63" s="197"/>
      <c r="AJ63" s="197"/>
      <c r="AK63" s="197"/>
      <c r="AL63" s="197"/>
      <c r="AM63" s="197"/>
      <c r="AN63" s="197"/>
      <c r="AO63" s="197"/>
      <c r="AP63" s="197"/>
      <c r="AQ63" s="197"/>
      <c r="AR63" s="197"/>
      <c r="AS63" s="197"/>
      <c r="AT63" s="197"/>
      <c r="AU63" s="197"/>
      <c r="AV63" s="197"/>
      <c r="AW63" s="197"/>
      <c r="AX63" s="197"/>
      <c r="AY63" s="197"/>
      <c r="AZ63" s="197"/>
      <c r="BA63" s="197"/>
      <c r="BB63" s="197"/>
      <c r="BC63" s="197"/>
      <c r="BD63" s="197"/>
      <c r="BE63" s="197"/>
      <c r="BF63" s="197"/>
      <c r="BG63" s="197"/>
      <c r="BH63" s="197"/>
      <c r="BI63" s="197"/>
      <c r="BJ63" s="197"/>
      <c r="BK63" s="197"/>
      <c r="BL63" s="197"/>
      <c r="BM63" s="197"/>
      <c r="BN63" s="197"/>
      <c r="BO63" s="197"/>
      <c r="BP63" s="197"/>
      <c r="BQ63" s="197"/>
    </row>
    <row r="64" spans="1:69" x14ac:dyDescent="0.3">
      <c r="J64" s="197"/>
      <c r="K64" s="197"/>
      <c r="L64" s="197"/>
      <c r="M64" s="197"/>
      <c r="N64" s="197"/>
      <c r="O64" s="197"/>
      <c r="P64" s="197"/>
      <c r="Q64" s="197"/>
      <c r="R64" s="197"/>
      <c r="S64" s="197"/>
      <c r="T64" s="197"/>
      <c r="U64" s="197"/>
      <c r="V64" s="197"/>
      <c r="W64" s="197"/>
      <c r="X64" s="197"/>
      <c r="Y64" s="197"/>
      <c r="Z64" s="197"/>
      <c r="AA64" s="197"/>
      <c r="AB64" s="197"/>
      <c r="AC64" s="197"/>
      <c r="AD64" s="197"/>
      <c r="AE64" s="197"/>
      <c r="AF64" s="197"/>
      <c r="AG64" s="197"/>
      <c r="AH64" s="197"/>
      <c r="AI64" s="197"/>
      <c r="AJ64" s="197"/>
      <c r="AK64" s="197"/>
      <c r="AL64" s="197"/>
      <c r="AM64" s="197"/>
      <c r="AN64" s="197"/>
      <c r="AO64" s="197"/>
      <c r="AP64" s="197"/>
      <c r="AQ64" s="197"/>
      <c r="AR64" s="197"/>
      <c r="AS64" s="197"/>
      <c r="AT64" s="197"/>
      <c r="AU64" s="197"/>
      <c r="AV64" s="197"/>
      <c r="AW64" s="197"/>
      <c r="AX64" s="197"/>
      <c r="AY64" s="197"/>
      <c r="AZ64" s="197"/>
      <c r="BA64" s="197"/>
      <c r="BB64" s="197"/>
      <c r="BC64" s="197"/>
      <c r="BD64" s="197"/>
      <c r="BE64" s="197"/>
      <c r="BF64" s="197"/>
      <c r="BG64" s="197"/>
      <c r="BH64" s="197"/>
      <c r="BI64" s="197"/>
      <c r="BJ64" s="197"/>
      <c r="BK64" s="197"/>
      <c r="BL64" s="197"/>
      <c r="BM64" s="197"/>
      <c r="BN64" s="197"/>
      <c r="BO64" s="197"/>
      <c r="BP64" s="197"/>
      <c r="BQ64" s="197"/>
    </row>
    <row r="65" spans="10:69" x14ac:dyDescent="0.3">
      <c r="J65" s="197"/>
      <c r="K65" s="197"/>
      <c r="L65" s="197"/>
      <c r="M65" s="197"/>
      <c r="N65" s="197"/>
      <c r="O65" s="197"/>
      <c r="P65" s="197"/>
      <c r="Q65" s="197"/>
      <c r="R65" s="197"/>
      <c r="S65" s="197"/>
      <c r="T65" s="197"/>
      <c r="U65" s="197"/>
      <c r="V65" s="197"/>
      <c r="W65" s="197"/>
      <c r="X65" s="197"/>
      <c r="Y65" s="197"/>
      <c r="Z65" s="197"/>
      <c r="AA65" s="197"/>
      <c r="AB65" s="197"/>
      <c r="AC65" s="197"/>
      <c r="AD65" s="197"/>
      <c r="AE65" s="197"/>
      <c r="AF65" s="197"/>
      <c r="AG65" s="197"/>
      <c r="AH65" s="197"/>
      <c r="AI65" s="197"/>
      <c r="AJ65" s="197"/>
      <c r="AK65" s="197"/>
      <c r="AL65" s="197"/>
      <c r="AM65" s="197"/>
      <c r="AN65" s="197"/>
      <c r="AO65" s="197"/>
      <c r="AP65" s="197"/>
      <c r="AQ65" s="197"/>
      <c r="AR65" s="197"/>
      <c r="AS65" s="197"/>
      <c r="AT65" s="197"/>
      <c r="AU65" s="197"/>
      <c r="AV65" s="197"/>
      <c r="AW65" s="197"/>
      <c r="AX65" s="197"/>
      <c r="AY65" s="197"/>
      <c r="AZ65" s="197"/>
      <c r="BA65" s="197"/>
      <c r="BB65" s="197"/>
      <c r="BC65" s="197"/>
      <c r="BD65" s="197"/>
      <c r="BE65" s="197"/>
      <c r="BF65" s="197"/>
      <c r="BG65" s="197"/>
      <c r="BH65" s="197"/>
      <c r="BI65" s="197"/>
      <c r="BJ65" s="197"/>
      <c r="BK65" s="197"/>
      <c r="BL65" s="197"/>
      <c r="BM65" s="197"/>
      <c r="BN65" s="197"/>
      <c r="BO65" s="197"/>
      <c r="BP65" s="197"/>
      <c r="BQ65" s="197"/>
    </row>
    <row r="66" spans="10:69" x14ac:dyDescent="0.3">
      <c r="J66" s="197"/>
      <c r="K66" s="197"/>
      <c r="L66" s="197"/>
      <c r="M66" s="197"/>
      <c r="N66" s="197"/>
      <c r="O66" s="197"/>
      <c r="P66" s="197"/>
      <c r="Q66" s="197"/>
      <c r="R66" s="197"/>
      <c r="S66" s="197"/>
      <c r="T66" s="197"/>
      <c r="U66" s="197"/>
      <c r="V66" s="197"/>
      <c r="W66" s="197"/>
      <c r="X66" s="197"/>
      <c r="Y66" s="197"/>
      <c r="Z66" s="197"/>
      <c r="AA66" s="197"/>
      <c r="AB66" s="197"/>
      <c r="AC66" s="197"/>
      <c r="AD66" s="197"/>
      <c r="AE66" s="197"/>
      <c r="AF66" s="197"/>
      <c r="AG66" s="197"/>
      <c r="AH66" s="197"/>
      <c r="AI66" s="197"/>
      <c r="AJ66" s="197"/>
      <c r="AK66" s="197"/>
      <c r="AL66" s="197"/>
      <c r="AM66" s="197"/>
      <c r="AN66" s="197"/>
      <c r="AO66" s="197"/>
      <c r="AP66" s="197"/>
      <c r="AQ66" s="197"/>
      <c r="AR66" s="197"/>
      <c r="AS66" s="197"/>
      <c r="AT66" s="197"/>
      <c r="AU66" s="197"/>
      <c r="AV66" s="197"/>
      <c r="AW66" s="197"/>
      <c r="AX66" s="197"/>
      <c r="AY66" s="197"/>
      <c r="AZ66" s="197"/>
      <c r="BA66" s="197"/>
      <c r="BB66" s="197"/>
      <c r="BC66" s="197"/>
      <c r="BD66" s="197"/>
      <c r="BE66" s="197"/>
      <c r="BF66" s="197"/>
      <c r="BG66" s="197"/>
      <c r="BH66" s="197"/>
      <c r="BI66" s="197"/>
      <c r="BJ66" s="197"/>
      <c r="BK66" s="197"/>
      <c r="BL66" s="197"/>
      <c r="BM66" s="197"/>
      <c r="BN66" s="197"/>
      <c r="BO66" s="197"/>
      <c r="BP66" s="197"/>
      <c r="BQ66" s="197"/>
    </row>
    <row r="67" spans="10:69" x14ac:dyDescent="0.3">
      <c r="J67" s="197"/>
      <c r="K67" s="197"/>
      <c r="L67" s="197"/>
      <c r="M67" s="197"/>
      <c r="N67" s="197"/>
      <c r="O67" s="197"/>
      <c r="P67" s="197"/>
      <c r="Q67" s="197"/>
      <c r="R67" s="197"/>
      <c r="S67" s="197"/>
      <c r="T67" s="197"/>
      <c r="U67" s="197"/>
      <c r="V67" s="197"/>
      <c r="W67" s="197"/>
      <c r="X67" s="197"/>
      <c r="Y67" s="197"/>
      <c r="Z67" s="197"/>
      <c r="AA67" s="197"/>
      <c r="AB67" s="197"/>
      <c r="AC67" s="197"/>
      <c r="AD67" s="197"/>
      <c r="AE67" s="197"/>
      <c r="AF67" s="197"/>
      <c r="AG67" s="197"/>
      <c r="AH67" s="197"/>
      <c r="AI67" s="197"/>
      <c r="AJ67" s="197"/>
      <c r="AK67" s="197"/>
      <c r="AL67" s="197"/>
      <c r="AM67" s="197"/>
      <c r="AN67" s="197"/>
      <c r="AO67" s="197"/>
      <c r="AP67" s="197"/>
      <c r="AQ67" s="197"/>
      <c r="AR67" s="197"/>
      <c r="AS67" s="197"/>
      <c r="AT67" s="197"/>
      <c r="AU67" s="197"/>
      <c r="AV67" s="197"/>
      <c r="AW67" s="197"/>
      <c r="AX67" s="197"/>
      <c r="AY67" s="197"/>
      <c r="AZ67" s="197"/>
      <c r="BA67" s="197"/>
      <c r="BB67" s="197"/>
      <c r="BC67" s="197"/>
      <c r="BD67" s="197"/>
      <c r="BE67" s="197"/>
      <c r="BF67" s="197"/>
      <c r="BG67" s="197"/>
      <c r="BH67" s="197"/>
      <c r="BI67" s="197"/>
      <c r="BJ67" s="197"/>
      <c r="BK67" s="197"/>
      <c r="BL67" s="197"/>
      <c r="BM67" s="197"/>
      <c r="BN67" s="197"/>
      <c r="BO67" s="197"/>
      <c r="BP67" s="197"/>
      <c r="BQ67" s="197"/>
    </row>
    <row r="68" spans="10:69" x14ac:dyDescent="0.3">
      <c r="J68" s="197"/>
      <c r="K68" s="197"/>
      <c r="L68" s="197"/>
      <c r="M68" s="197"/>
      <c r="N68" s="197"/>
      <c r="O68" s="197"/>
      <c r="P68" s="197"/>
      <c r="Q68" s="197"/>
      <c r="R68" s="197"/>
      <c r="S68" s="197"/>
      <c r="T68" s="197"/>
      <c r="U68" s="197"/>
      <c r="V68" s="197"/>
      <c r="W68" s="197"/>
      <c r="X68" s="197"/>
      <c r="Y68" s="197"/>
      <c r="Z68" s="197"/>
      <c r="AA68" s="197"/>
      <c r="AB68" s="197"/>
      <c r="AC68" s="197"/>
      <c r="AD68" s="197"/>
      <c r="AE68" s="197"/>
      <c r="AF68" s="197"/>
      <c r="AG68" s="197"/>
      <c r="AH68" s="197"/>
      <c r="AI68" s="197"/>
      <c r="AJ68" s="197"/>
      <c r="AK68" s="197"/>
      <c r="AL68" s="197"/>
      <c r="AM68" s="197"/>
      <c r="AN68" s="197"/>
      <c r="AO68" s="197"/>
      <c r="AP68" s="197"/>
      <c r="AQ68" s="197"/>
      <c r="AR68" s="197"/>
      <c r="AS68" s="197"/>
      <c r="AT68" s="197"/>
      <c r="AU68" s="197"/>
      <c r="AV68" s="197"/>
      <c r="AW68" s="197"/>
      <c r="AX68" s="197"/>
      <c r="AY68" s="197"/>
      <c r="AZ68" s="197"/>
      <c r="BA68" s="197"/>
      <c r="BB68" s="197"/>
      <c r="BC68" s="197"/>
      <c r="BD68" s="197"/>
      <c r="BE68" s="197"/>
      <c r="BF68" s="197"/>
      <c r="BG68" s="197"/>
      <c r="BH68" s="197"/>
      <c r="BI68" s="197"/>
      <c r="BJ68" s="197"/>
      <c r="BK68" s="197"/>
      <c r="BL68" s="197"/>
      <c r="BM68" s="197"/>
      <c r="BN68" s="197"/>
      <c r="BO68" s="197"/>
      <c r="BP68" s="197"/>
      <c r="BQ68" s="197"/>
    </row>
  </sheetData>
  <sheetProtection sheet="1" objects="1" scenarios="1"/>
  <mergeCells count="1">
    <mergeCell ref="C17:E17"/>
  </mergeCells>
  <conditionalFormatting sqref="A12:C14">
    <cfRule type="expression" dxfId="184" priority="1">
      <formula>$B$11=$A$35</formula>
    </cfRule>
    <cfRule type="expression" dxfId="183"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6" zoomScaleNormal="100" workbookViewId="0">
      <selection activeCell="C25" sqref="C25"/>
    </sheetView>
  </sheetViews>
  <sheetFormatPr defaultRowHeight="14" x14ac:dyDescent="0.3"/>
  <cols>
    <col min="1" max="1" width="0.33203125" customWidth="1"/>
    <col min="2" max="2" width="17.25" customWidth="1"/>
    <col min="3" max="3" width="13.33203125" customWidth="1"/>
    <col min="4" max="4" width="9.58203125" style="10" customWidth="1"/>
    <col min="5" max="5" width="13.33203125" style="10" customWidth="1"/>
    <col min="6" max="6" width="8.58203125" style="10" customWidth="1"/>
    <col min="7" max="7" width="15.58203125" style="10" customWidth="1"/>
    <col min="8" max="8" width="16.08203125" style="10" customWidth="1"/>
    <col min="9" max="9" width="12.5" style="10" customWidth="1"/>
    <col min="10" max="10" width="12.08203125" style="10" customWidth="1"/>
    <col min="11" max="11" width="18.08203125" customWidth="1"/>
    <col min="12" max="12" width="16.25" customWidth="1"/>
    <col min="13" max="14" width="12.83203125" customWidth="1"/>
    <col min="15" max="15" width="11.33203125" customWidth="1"/>
    <col min="16" max="16" width="11.75" customWidth="1"/>
    <col min="17" max="17" width="10.83203125" customWidth="1"/>
    <col min="18" max="18" width="16" customWidth="1"/>
    <col min="19" max="19" width="14.08203125" customWidth="1"/>
    <col min="20" max="20" width="11.75" customWidth="1"/>
    <col min="21" max="21" width="13.33203125" customWidth="1"/>
    <col min="22" max="22" width="21.58203125" customWidth="1"/>
    <col min="23" max="23" width="16.08203125" customWidth="1"/>
    <col min="24" max="25" width="14" customWidth="1"/>
    <col min="26" max="26" width="9.58203125" customWidth="1"/>
    <col min="27" max="27" width="10.75" customWidth="1"/>
    <col min="28" max="28" width="9.58203125" customWidth="1"/>
    <col min="29" max="29" width="9.25" customWidth="1"/>
    <col min="30" max="30" width="9.33203125" customWidth="1"/>
    <col min="31" max="32" width="13.25" customWidth="1"/>
    <col min="33" max="33" width="8.25" bestFit="1" customWidth="1"/>
    <col min="34" max="34" width="10" style="64" customWidth="1"/>
    <col min="36" max="36" width="9.75" customWidth="1"/>
    <col min="37" max="37" width="9.33203125" customWidth="1"/>
    <col min="38" max="38" width="10.5" bestFit="1" customWidth="1"/>
    <col min="45" max="45" width="9.58203125" customWidth="1"/>
    <col min="46" max="46" width="14.75" customWidth="1"/>
    <col min="47" max="47" width="11.33203125" customWidth="1"/>
    <col min="48" max="48" width="9.83203125" customWidth="1"/>
    <col min="49" max="49" width="10.75" customWidth="1"/>
    <col min="50" max="50" width="10.08203125" bestFit="1" customWidth="1"/>
    <col min="51" max="51" width="12.5" customWidth="1"/>
    <col min="52" max="52" width="10.58203125" customWidth="1"/>
    <col min="55" max="55" width="15.75" customWidth="1"/>
    <col min="56" max="56" width="10" customWidth="1"/>
    <col min="59" max="59" width="8.83203125" customWidth="1"/>
    <col min="60" max="60" width="9.58203125" bestFit="1" customWidth="1"/>
    <col min="61" max="61" width="9.33203125" customWidth="1"/>
    <col min="63" max="63" width="7.25" customWidth="1"/>
    <col min="64" max="64" width="0" hidden="1" customWidth="1"/>
    <col min="66" max="66" width="9.33203125" customWidth="1"/>
    <col min="67" max="67" width="10.33203125" customWidth="1"/>
    <col min="68" max="68" width="15.83203125" customWidth="1"/>
    <col min="70" max="70" width="6.75" customWidth="1"/>
    <col min="257" max="257" width="0.33203125" customWidth="1"/>
    <col min="258" max="258" width="17.25" customWidth="1"/>
    <col min="259" max="259" width="13.33203125" customWidth="1"/>
    <col min="260" max="260" width="9.58203125" customWidth="1"/>
    <col min="261" max="261" width="13.33203125" customWidth="1"/>
    <col min="262" max="262" width="8.58203125" customWidth="1"/>
    <col min="263" max="263" width="15.58203125" customWidth="1"/>
    <col min="264" max="264" width="16.08203125" customWidth="1"/>
    <col min="265" max="265" width="12.5" customWidth="1"/>
    <col min="266" max="266" width="12.08203125" customWidth="1"/>
    <col min="267" max="267" width="18.08203125" customWidth="1"/>
    <col min="268" max="268" width="16.25" customWidth="1"/>
    <col min="269" max="270" width="12.83203125" customWidth="1"/>
    <col min="271" max="271" width="11.33203125" customWidth="1"/>
    <col min="272" max="272" width="11.75" customWidth="1"/>
    <col min="273" max="273" width="10.83203125" customWidth="1"/>
    <col min="274" max="274" width="16" customWidth="1"/>
    <col min="275" max="275" width="14.08203125" customWidth="1"/>
    <col min="276" max="276" width="11.75" customWidth="1"/>
    <col min="277" max="277" width="13.33203125" customWidth="1"/>
    <col min="278" max="278" width="21.58203125" customWidth="1"/>
    <col min="279" max="279" width="16.08203125" customWidth="1"/>
    <col min="280" max="281" width="14" customWidth="1"/>
    <col min="282" max="282" width="9.58203125" customWidth="1"/>
    <col min="283" max="283" width="10.75" customWidth="1"/>
    <col min="284" max="284" width="9.58203125" customWidth="1"/>
    <col min="285" max="285" width="9.25" customWidth="1"/>
    <col min="286" max="286" width="9.33203125" customWidth="1"/>
    <col min="287" max="288" width="13.25" customWidth="1"/>
    <col min="289" max="289" width="8.25" bestFit="1" customWidth="1"/>
    <col min="290" max="290" width="10" customWidth="1"/>
    <col min="292" max="292" width="9.75" customWidth="1"/>
    <col min="293" max="293" width="9.33203125" customWidth="1"/>
    <col min="294" max="294" width="10.5" bestFit="1" customWidth="1"/>
    <col min="301" max="301" width="9.58203125" customWidth="1"/>
    <col min="302" max="302" width="14.75" customWidth="1"/>
    <col min="303" max="303" width="11.33203125" customWidth="1"/>
    <col min="304" max="304" width="9.83203125" customWidth="1"/>
    <col min="305" max="305" width="10.75" customWidth="1"/>
    <col min="306" max="306" width="10.08203125" bestFit="1" customWidth="1"/>
    <col min="307" max="307" width="12.5" customWidth="1"/>
    <col min="308" max="308" width="10.58203125" customWidth="1"/>
    <col min="311" max="311" width="15.75" customWidth="1"/>
    <col min="312" max="312" width="10" customWidth="1"/>
    <col min="315" max="315" width="8.83203125" customWidth="1"/>
    <col min="316" max="316" width="9.58203125" bestFit="1" customWidth="1"/>
    <col min="317" max="317" width="9.33203125" customWidth="1"/>
    <col min="319" max="319" width="7.25" customWidth="1"/>
    <col min="320" max="320" width="0" hidden="1" customWidth="1"/>
    <col min="322" max="322" width="9.33203125" customWidth="1"/>
    <col min="323" max="323" width="10.33203125" customWidth="1"/>
    <col min="324" max="324" width="15.83203125" customWidth="1"/>
    <col min="326" max="326" width="6.75" customWidth="1"/>
    <col min="513" max="513" width="0.33203125" customWidth="1"/>
    <col min="514" max="514" width="17.25" customWidth="1"/>
    <col min="515" max="515" width="13.33203125" customWidth="1"/>
    <col min="516" max="516" width="9.58203125" customWidth="1"/>
    <col min="517" max="517" width="13.33203125" customWidth="1"/>
    <col min="518" max="518" width="8.58203125" customWidth="1"/>
    <col min="519" max="519" width="15.58203125" customWidth="1"/>
    <col min="520" max="520" width="16.08203125" customWidth="1"/>
    <col min="521" max="521" width="12.5" customWidth="1"/>
    <col min="522" max="522" width="12.08203125" customWidth="1"/>
    <col min="523" max="523" width="18.08203125" customWidth="1"/>
    <col min="524" max="524" width="16.25" customWidth="1"/>
    <col min="525" max="526" width="12.83203125" customWidth="1"/>
    <col min="527" max="527" width="11.33203125" customWidth="1"/>
    <col min="528" max="528" width="11.75" customWidth="1"/>
    <col min="529" max="529" width="10.83203125" customWidth="1"/>
    <col min="530" max="530" width="16" customWidth="1"/>
    <col min="531" max="531" width="14.08203125" customWidth="1"/>
    <col min="532" max="532" width="11.75" customWidth="1"/>
    <col min="533" max="533" width="13.33203125" customWidth="1"/>
    <col min="534" max="534" width="21.58203125" customWidth="1"/>
    <col min="535" max="535" width="16.08203125" customWidth="1"/>
    <col min="536" max="537" width="14" customWidth="1"/>
    <col min="538" max="538" width="9.58203125" customWidth="1"/>
    <col min="539" max="539" width="10.75" customWidth="1"/>
    <col min="540" max="540" width="9.58203125" customWidth="1"/>
    <col min="541" max="541" width="9.25" customWidth="1"/>
    <col min="542" max="542" width="9.33203125" customWidth="1"/>
    <col min="543" max="544" width="13.25" customWidth="1"/>
    <col min="545" max="545" width="8.25" bestFit="1" customWidth="1"/>
    <col min="546" max="546" width="10" customWidth="1"/>
    <col min="548" max="548" width="9.75" customWidth="1"/>
    <col min="549" max="549" width="9.33203125" customWidth="1"/>
    <col min="550" max="550" width="10.5" bestFit="1" customWidth="1"/>
    <col min="557" max="557" width="9.58203125" customWidth="1"/>
    <col min="558" max="558" width="14.75" customWidth="1"/>
    <col min="559" max="559" width="11.33203125" customWidth="1"/>
    <col min="560" max="560" width="9.83203125" customWidth="1"/>
    <col min="561" max="561" width="10.75" customWidth="1"/>
    <col min="562" max="562" width="10.08203125" bestFit="1" customWidth="1"/>
    <col min="563" max="563" width="12.5" customWidth="1"/>
    <col min="564" max="564" width="10.58203125" customWidth="1"/>
    <col min="567" max="567" width="15.75" customWidth="1"/>
    <col min="568" max="568" width="10" customWidth="1"/>
    <col min="571" max="571" width="8.83203125" customWidth="1"/>
    <col min="572" max="572" width="9.58203125" bestFit="1" customWidth="1"/>
    <col min="573" max="573" width="9.33203125" customWidth="1"/>
    <col min="575" max="575" width="7.25" customWidth="1"/>
    <col min="576" max="576" width="0" hidden="1" customWidth="1"/>
    <col min="578" max="578" width="9.33203125" customWidth="1"/>
    <col min="579" max="579" width="10.33203125" customWidth="1"/>
    <col min="580" max="580" width="15.83203125" customWidth="1"/>
    <col min="582" max="582" width="6.75" customWidth="1"/>
    <col min="769" max="769" width="0.33203125" customWidth="1"/>
    <col min="770" max="770" width="17.25" customWidth="1"/>
    <col min="771" max="771" width="13.33203125" customWidth="1"/>
    <col min="772" max="772" width="9.58203125" customWidth="1"/>
    <col min="773" max="773" width="13.33203125" customWidth="1"/>
    <col min="774" max="774" width="8.58203125" customWidth="1"/>
    <col min="775" max="775" width="15.58203125" customWidth="1"/>
    <col min="776" max="776" width="16.08203125" customWidth="1"/>
    <col min="777" max="777" width="12.5" customWidth="1"/>
    <col min="778" max="778" width="12.08203125" customWidth="1"/>
    <col min="779" max="779" width="18.08203125" customWidth="1"/>
    <col min="780" max="780" width="16.25" customWidth="1"/>
    <col min="781" max="782" width="12.83203125" customWidth="1"/>
    <col min="783" max="783" width="11.33203125" customWidth="1"/>
    <col min="784" max="784" width="11.75" customWidth="1"/>
    <col min="785" max="785" width="10.83203125" customWidth="1"/>
    <col min="786" max="786" width="16" customWidth="1"/>
    <col min="787" max="787" width="14.08203125" customWidth="1"/>
    <col min="788" max="788" width="11.75" customWidth="1"/>
    <col min="789" max="789" width="13.33203125" customWidth="1"/>
    <col min="790" max="790" width="21.58203125" customWidth="1"/>
    <col min="791" max="791" width="16.08203125" customWidth="1"/>
    <col min="792" max="793" width="14" customWidth="1"/>
    <col min="794" max="794" width="9.58203125" customWidth="1"/>
    <col min="795" max="795" width="10.75" customWidth="1"/>
    <col min="796" max="796" width="9.58203125" customWidth="1"/>
    <col min="797" max="797" width="9.25" customWidth="1"/>
    <col min="798" max="798" width="9.33203125" customWidth="1"/>
    <col min="799" max="800" width="13.25" customWidth="1"/>
    <col min="801" max="801" width="8.25" bestFit="1" customWidth="1"/>
    <col min="802" max="802" width="10" customWidth="1"/>
    <col min="804" max="804" width="9.75" customWidth="1"/>
    <col min="805" max="805" width="9.33203125" customWidth="1"/>
    <col min="806" max="806" width="10.5" bestFit="1" customWidth="1"/>
    <col min="813" max="813" width="9.58203125" customWidth="1"/>
    <col min="814" max="814" width="14.75" customWidth="1"/>
    <col min="815" max="815" width="11.33203125" customWidth="1"/>
    <col min="816" max="816" width="9.83203125" customWidth="1"/>
    <col min="817" max="817" width="10.75" customWidth="1"/>
    <col min="818" max="818" width="10.08203125" bestFit="1" customWidth="1"/>
    <col min="819" max="819" width="12.5" customWidth="1"/>
    <col min="820" max="820" width="10.58203125" customWidth="1"/>
    <col min="823" max="823" width="15.75" customWidth="1"/>
    <col min="824" max="824" width="10" customWidth="1"/>
    <col min="827" max="827" width="8.83203125" customWidth="1"/>
    <col min="828" max="828" width="9.58203125" bestFit="1" customWidth="1"/>
    <col min="829" max="829" width="9.33203125" customWidth="1"/>
    <col min="831" max="831" width="7.25" customWidth="1"/>
    <col min="832" max="832" width="0" hidden="1" customWidth="1"/>
    <col min="834" max="834" width="9.33203125" customWidth="1"/>
    <col min="835" max="835" width="10.33203125" customWidth="1"/>
    <col min="836" max="836" width="15.83203125" customWidth="1"/>
    <col min="838" max="838" width="6.75" customWidth="1"/>
    <col min="1025" max="1025" width="0.33203125" customWidth="1"/>
    <col min="1026" max="1026" width="17.25" customWidth="1"/>
    <col min="1027" max="1027" width="13.33203125" customWidth="1"/>
    <col min="1028" max="1028" width="9.58203125" customWidth="1"/>
    <col min="1029" max="1029" width="13.33203125" customWidth="1"/>
    <col min="1030" max="1030" width="8.58203125" customWidth="1"/>
    <col min="1031" max="1031" width="15.58203125" customWidth="1"/>
    <col min="1032" max="1032" width="16.08203125" customWidth="1"/>
    <col min="1033" max="1033" width="12.5" customWidth="1"/>
    <col min="1034" max="1034" width="12.08203125" customWidth="1"/>
    <col min="1035" max="1035" width="18.08203125" customWidth="1"/>
    <col min="1036" max="1036" width="16.25" customWidth="1"/>
    <col min="1037" max="1038" width="12.83203125" customWidth="1"/>
    <col min="1039" max="1039" width="11.33203125" customWidth="1"/>
    <col min="1040" max="1040" width="11.75" customWidth="1"/>
    <col min="1041" max="1041" width="10.83203125" customWidth="1"/>
    <col min="1042" max="1042" width="16" customWidth="1"/>
    <col min="1043" max="1043" width="14.08203125" customWidth="1"/>
    <col min="1044" max="1044" width="11.75" customWidth="1"/>
    <col min="1045" max="1045" width="13.33203125" customWidth="1"/>
    <col min="1046" max="1046" width="21.58203125" customWidth="1"/>
    <col min="1047" max="1047" width="16.08203125" customWidth="1"/>
    <col min="1048" max="1049" width="14" customWidth="1"/>
    <col min="1050" max="1050" width="9.58203125" customWidth="1"/>
    <col min="1051" max="1051" width="10.75" customWidth="1"/>
    <col min="1052" max="1052" width="9.58203125" customWidth="1"/>
    <col min="1053" max="1053" width="9.25" customWidth="1"/>
    <col min="1054" max="1054" width="9.33203125" customWidth="1"/>
    <col min="1055" max="1056" width="13.25" customWidth="1"/>
    <col min="1057" max="1057" width="8.25" bestFit="1" customWidth="1"/>
    <col min="1058" max="1058" width="10" customWidth="1"/>
    <col min="1060" max="1060" width="9.75" customWidth="1"/>
    <col min="1061" max="1061" width="9.33203125" customWidth="1"/>
    <col min="1062" max="1062" width="10.5" bestFit="1" customWidth="1"/>
    <col min="1069" max="1069" width="9.58203125" customWidth="1"/>
    <col min="1070" max="1070" width="14.75" customWidth="1"/>
    <col min="1071" max="1071" width="11.33203125" customWidth="1"/>
    <col min="1072" max="1072" width="9.83203125" customWidth="1"/>
    <col min="1073" max="1073" width="10.75" customWidth="1"/>
    <col min="1074" max="1074" width="10.08203125" bestFit="1" customWidth="1"/>
    <col min="1075" max="1075" width="12.5" customWidth="1"/>
    <col min="1076" max="1076" width="10.58203125" customWidth="1"/>
    <col min="1079" max="1079" width="15.75" customWidth="1"/>
    <col min="1080" max="1080" width="10" customWidth="1"/>
    <col min="1083" max="1083" width="8.83203125" customWidth="1"/>
    <col min="1084" max="1084" width="9.58203125" bestFit="1" customWidth="1"/>
    <col min="1085" max="1085" width="9.33203125" customWidth="1"/>
    <col min="1087" max="1087" width="7.25" customWidth="1"/>
    <col min="1088" max="1088" width="0" hidden="1" customWidth="1"/>
    <col min="1090" max="1090" width="9.33203125" customWidth="1"/>
    <col min="1091" max="1091" width="10.33203125" customWidth="1"/>
    <col min="1092" max="1092" width="15.83203125" customWidth="1"/>
    <col min="1094" max="1094" width="6.75" customWidth="1"/>
    <col min="1281" max="1281" width="0.33203125" customWidth="1"/>
    <col min="1282" max="1282" width="17.25" customWidth="1"/>
    <col min="1283" max="1283" width="13.33203125" customWidth="1"/>
    <col min="1284" max="1284" width="9.58203125" customWidth="1"/>
    <col min="1285" max="1285" width="13.33203125" customWidth="1"/>
    <col min="1286" max="1286" width="8.58203125" customWidth="1"/>
    <col min="1287" max="1287" width="15.58203125" customWidth="1"/>
    <col min="1288" max="1288" width="16.08203125" customWidth="1"/>
    <col min="1289" max="1289" width="12.5" customWidth="1"/>
    <col min="1290" max="1290" width="12.08203125" customWidth="1"/>
    <col min="1291" max="1291" width="18.08203125" customWidth="1"/>
    <col min="1292" max="1292" width="16.25" customWidth="1"/>
    <col min="1293" max="1294" width="12.83203125" customWidth="1"/>
    <col min="1295" max="1295" width="11.33203125" customWidth="1"/>
    <col min="1296" max="1296" width="11.75" customWidth="1"/>
    <col min="1297" max="1297" width="10.83203125" customWidth="1"/>
    <col min="1298" max="1298" width="16" customWidth="1"/>
    <col min="1299" max="1299" width="14.08203125" customWidth="1"/>
    <col min="1300" max="1300" width="11.75" customWidth="1"/>
    <col min="1301" max="1301" width="13.33203125" customWidth="1"/>
    <col min="1302" max="1302" width="21.58203125" customWidth="1"/>
    <col min="1303" max="1303" width="16.08203125" customWidth="1"/>
    <col min="1304" max="1305" width="14" customWidth="1"/>
    <col min="1306" max="1306" width="9.58203125" customWidth="1"/>
    <col min="1307" max="1307" width="10.75" customWidth="1"/>
    <col min="1308" max="1308" width="9.58203125" customWidth="1"/>
    <col min="1309" max="1309" width="9.25" customWidth="1"/>
    <col min="1310" max="1310" width="9.33203125" customWidth="1"/>
    <col min="1311" max="1312" width="13.25" customWidth="1"/>
    <col min="1313" max="1313" width="8.25" bestFit="1" customWidth="1"/>
    <col min="1314" max="1314" width="10" customWidth="1"/>
    <col min="1316" max="1316" width="9.75" customWidth="1"/>
    <col min="1317" max="1317" width="9.33203125" customWidth="1"/>
    <col min="1318" max="1318" width="10.5" bestFit="1" customWidth="1"/>
    <col min="1325" max="1325" width="9.58203125" customWidth="1"/>
    <col min="1326" max="1326" width="14.75" customWidth="1"/>
    <col min="1327" max="1327" width="11.33203125" customWidth="1"/>
    <col min="1328" max="1328" width="9.83203125" customWidth="1"/>
    <col min="1329" max="1329" width="10.75" customWidth="1"/>
    <col min="1330" max="1330" width="10.08203125" bestFit="1" customWidth="1"/>
    <col min="1331" max="1331" width="12.5" customWidth="1"/>
    <col min="1332" max="1332" width="10.58203125" customWidth="1"/>
    <col min="1335" max="1335" width="15.75" customWidth="1"/>
    <col min="1336" max="1336" width="10" customWidth="1"/>
    <col min="1339" max="1339" width="8.83203125" customWidth="1"/>
    <col min="1340" max="1340" width="9.58203125" bestFit="1" customWidth="1"/>
    <col min="1341" max="1341" width="9.33203125" customWidth="1"/>
    <col min="1343" max="1343" width="7.25" customWidth="1"/>
    <col min="1344" max="1344" width="0" hidden="1" customWidth="1"/>
    <col min="1346" max="1346" width="9.33203125" customWidth="1"/>
    <col min="1347" max="1347" width="10.33203125" customWidth="1"/>
    <col min="1348" max="1348" width="15.83203125" customWidth="1"/>
    <col min="1350" max="1350" width="6.75" customWidth="1"/>
    <col min="1537" max="1537" width="0.33203125" customWidth="1"/>
    <col min="1538" max="1538" width="17.25" customWidth="1"/>
    <col min="1539" max="1539" width="13.33203125" customWidth="1"/>
    <col min="1540" max="1540" width="9.58203125" customWidth="1"/>
    <col min="1541" max="1541" width="13.33203125" customWidth="1"/>
    <col min="1542" max="1542" width="8.58203125" customWidth="1"/>
    <col min="1543" max="1543" width="15.58203125" customWidth="1"/>
    <col min="1544" max="1544" width="16.08203125" customWidth="1"/>
    <col min="1545" max="1545" width="12.5" customWidth="1"/>
    <col min="1546" max="1546" width="12.08203125" customWidth="1"/>
    <col min="1547" max="1547" width="18.08203125" customWidth="1"/>
    <col min="1548" max="1548" width="16.25" customWidth="1"/>
    <col min="1549" max="1550" width="12.83203125" customWidth="1"/>
    <col min="1551" max="1551" width="11.33203125" customWidth="1"/>
    <col min="1552" max="1552" width="11.75" customWidth="1"/>
    <col min="1553" max="1553" width="10.83203125" customWidth="1"/>
    <col min="1554" max="1554" width="16" customWidth="1"/>
    <col min="1555" max="1555" width="14.08203125" customWidth="1"/>
    <col min="1556" max="1556" width="11.75" customWidth="1"/>
    <col min="1557" max="1557" width="13.33203125" customWidth="1"/>
    <col min="1558" max="1558" width="21.58203125" customWidth="1"/>
    <col min="1559" max="1559" width="16.08203125" customWidth="1"/>
    <col min="1560" max="1561" width="14" customWidth="1"/>
    <col min="1562" max="1562" width="9.58203125" customWidth="1"/>
    <col min="1563" max="1563" width="10.75" customWidth="1"/>
    <col min="1564" max="1564" width="9.58203125" customWidth="1"/>
    <col min="1565" max="1565" width="9.25" customWidth="1"/>
    <col min="1566" max="1566" width="9.33203125" customWidth="1"/>
    <col min="1567" max="1568" width="13.25" customWidth="1"/>
    <col min="1569" max="1569" width="8.25" bestFit="1" customWidth="1"/>
    <col min="1570" max="1570" width="10" customWidth="1"/>
    <col min="1572" max="1572" width="9.75" customWidth="1"/>
    <col min="1573" max="1573" width="9.33203125" customWidth="1"/>
    <col min="1574" max="1574" width="10.5" bestFit="1" customWidth="1"/>
    <col min="1581" max="1581" width="9.58203125" customWidth="1"/>
    <col min="1582" max="1582" width="14.75" customWidth="1"/>
    <col min="1583" max="1583" width="11.33203125" customWidth="1"/>
    <col min="1584" max="1584" width="9.83203125" customWidth="1"/>
    <col min="1585" max="1585" width="10.75" customWidth="1"/>
    <col min="1586" max="1586" width="10.08203125" bestFit="1" customWidth="1"/>
    <col min="1587" max="1587" width="12.5" customWidth="1"/>
    <col min="1588" max="1588" width="10.58203125" customWidth="1"/>
    <col min="1591" max="1591" width="15.75" customWidth="1"/>
    <col min="1592" max="1592" width="10" customWidth="1"/>
    <col min="1595" max="1595" width="8.83203125" customWidth="1"/>
    <col min="1596" max="1596" width="9.58203125" bestFit="1" customWidth="1"/>
    <col min="1597" max="1597" width="9.33203125" customWidth="1"/>
    <col min="1599" max="1599" width="7.25" customWidth="1"/>
    <col min="1600" max="1600" width="0" hidden="1" customWidth="1"/>
    <col min="1602" max="1602" width="9.33203125" customWidth="1"/>
    <col min="1603" max="1603" width="10.33203125" customWidth="1"/>
    <col min="1604" max="1604" width="15.83203125" customWidth="1"/>
    <col min="1606" max="1606" width="6.75" customWidth="1"/>
    <col min="1793" max="1793" width="0.33203125" customWidth="1"/>
    <col min="1794" max="1794" width="17.25" customWidth="1"/>
    <col min="1795" max="1795" width="13.33203125" customWidth="1"/>
    <col min="1796" max="1796" width="9.58203125" customWidth="1"/>
    <col min="1797" max="1797" width="13.33203125" customWidth="1"/>
    <col min="1798" max="1798" width="8.58203125" customWidth="1"/>
    <col min="1799" max="1799" width="15.58203125" customWidth="1"/>
    <col min="1800" max="1800" width="16.08203125" customWidth="1"/>
    <col min="1801" max="1801" width="12.5" customWidth="1"/>
    <col min="1802" max="1802" width="12.08203125" customWidth="1"/>
    <col min="1803" max="1803" width="18.08203125" customWidth="1"/>
    <col min="1804" max="1804" width="16.25" customWidth="1"/>
    <col min="1805" max="1806" width="12.83203125" customWidth="1"/>
    <col min="1807" max="1807" width="11.33203125" customWidth="1"/>
    <col min="1808" max="1808" width="11.75" customWidth="1"/>
    <col min="1809" max="1809" width="10.83203125" customWidth="1"/>
    <col min="1810" max="1810" width="16" customWidth="1"/>
    <col min="1811" max="1811" width="14.08203125" customWidth="1"/>
    <col min="1812" max="1812" width="11.75" customWidth="1"/>
    <col min="1813" max="1813" width="13.33203125" customWidth="1"/>
    <col min="1814" max="1814" width="21.58203125" customWidth="1"/>
    <col min="1815" max="1815" width="16.08203125" customWidth="1"/>
    <col min="1816" max="1817" width="14" customWidth="1"/>
    <col min="1818" max="1818" width="9.58203125" customWidth="1"/>
    <col min="1819" max="1819" width="10.75" customWidth="1"/>
    <col min="1820" max="1820" width="9.58203125" customWidth="1"/>
    <col min="1821" max="1821" width="9.25" customWidth="1"/>
    <col min="1822" max="1822" width="9.33203125" customWidth="1"/>
    <col min="1823" max="1824" width="13.25" customWidth="1"/>
    <col min="1825" max="1825" width="8.25" bestFit="1" customWidth="1"/>
    <col min="1826" max="1826" width="10" customWidth="1"/>
    <col min="1828" max="1828" width="9.75" customWidth="1"/>
    <col min="1829" max="1829" width="9.33203125" customWidth="1"/>
    <col min="1830" max="1830" width="10.5" bestFit="1" customWidth="1"/>
    <col min="1837" max="1837" width="9.58203125" customWidth="1"/>
    <col min="1838" max="1838" width="14.75" customWidth="1"/>
    <col min="1839" max="1839" width="11.33203125" customWidth="1"/>
    <col min="1840" max="1840" width="9.83203125" customWidth="1"/>
    <col min="1841" max="1841" width="10.75" customWidth="1"/>
    <col min="1842" max="1842" width="10.08203125" bestFit="1" customWidth="1"/>
    <col min="1843" max="1843" width="12.5" customWidth="1"/>
    <col min="1844" max="1844" width="10.58203125" customWidth="1"/>
    <col min="1847" max="1847" width="15.75" customWidth="1"/>
    <col min="1848" max="1848" width="10" customWidth="1"/>
    <col min="1851" max="1851" width="8.83203125" customWidth="1"/>
    <col min="1852" max="1852" width="9.58203125" bestFit="1" customWidth="1"/>
    <col min="1853" max="1853" width="9.33203125" customWidth="1"/>
    <col min="1855" max="1855" width="7.25" customWidth="1"/>
    <col min="1856" max="1856" width="0" hidden="1" customWidth="1"/>
    <col min="1858" max="1858" width="9.33203125" customWidth="1"/>
    <col min="1859" max="1859" width="10.33203125" customWidth="1"/>
    <col min="1860" max="1860" width="15.83203125" customWidth="1"/>
    <col min="1862" max="1862" width="6.75" customWidth="1"/>
    <col min="2049" max="2049" width="0.33203125" customWidth="1"/>
    <col min="2050" max="2050" width="17.25" customWidth="1"/>
    <col min="2051" max="2051" width="13.33203125" customWidth="1"/>
    <col min="2052" max="2052" width="9.58203125" customWidth="1"/>
    <col min="2053" max="2053" width="13.33203125" customWidth="1"/>
    <col min="2054" max="2054" width="8.58203125" customWidth="1"/>
    <col min="2055" max="2055" width="15.58203125" customWidth="1"/>
    <col min="2056" max="2056" width="16.08203125" customWidth="1"/>
    <col min="2057" max="2057" width="12.5" customWidth="1"/>
    <col min="2058" max="2058" width="12.08203125" customWidth="1"/>
    <col min="2059" max="2059" width="18.08203125" customWidth="1"/>
    <col min="2060" max="2060" width="16.25" customWidth="1"/>
    <col min="2061" max="2062" width="12.83203125" customWidth="1"/>
    <col min="2063" max="2063" width="11.33203125" customWidth="1"/>
    <col min="2064" max="2064" width="11.75" customWidth="1"/>
    <col min="2065" max="2065" width="10.83203125" customWidth="1"/>
    <col min="2066" max="2066" width="16" customWidth="1"/>
    <col min="2067" max="2067" width="14.08203125" customWidth="1"/>
    <col min="2068" max="2068" width="11.75" customWidth="1"/>
    <col min="2069" max="2069" width="13.33203125" customWidth="1"/>
    <col min="2070" max="2070" width="21.58203125" customWidth="1"/>
    <col min="2071" max="2071" width="16.08203125" customWidth="1"/>
    <col min="2072" max="2073" width="14" customWidth="1"/>
    <col min="2074" max="2074" width="9.58203125" customWidth="1"/>
    <col min="2075" max="2075" width="10.75" customWidth="1"/>
    <col min="2076" max="2076" width="9.58203125" customWidth="1"/>
    <col min="2077" max="2077" width="9.25" customWidth="1"/>
    <col min="2078" max="2078" width="9.33203125" customWidth="1"/>
    <col min="2079" max="2080" width="13.25" customWidth="1"/>
    <col min="2081" max="2081" width="8.25" bestFit="1" customWidth="1"/>
    <col min="2082" max="2082" width="10" customWidth="1"/>
    <col min="2084" max="2084" width="9.75" customWidth="1"/>
    <col min="2085" max="2085" width="9.33203125" customWidth="1"/>
    <col min="2086" max="2086" width="10.5" bestFit="1" customWidth="1"/>
    <col min="2093" max="2093" width="9.58203125" customWidth="1"/>
    <col min="2094" max="2094" width="14.75" customWidth="1"/>
    <col min="2095" max="2095" width="11.33203125" customWidth="1"/>
    <col min="2096" max="2096" width="9.83203125" customWidth="1"/>
    <col min="2097" max="2097" width="10.75" customWidth="1"/>
    <col min="2098" max="2098" width="10.08203125" bestFit="1" customWidth="1"/>
    <col min="2099" max="2099" width="12.5" customWidth="1"/>
    <col min="2100" max="2100" width="10.58203125" customWidth="1"/>
    <col min="2103" max="2103" width="15.75" customWidth="1"/>
    <col min="2104" max="2104" width="10" customWidth="1"/>
    <col min="2107" max="2107" width="8.83203125" customWidth="1"/>
    <col min="2108" max="2108" width="9.58203125" bestFit="1" customWidth="1"/>
    <col min="2109" max="2109" width="9.33203125" customWidth="1"/>
    <col min="2111" max="2111" width="7.25" customWidth="1"/>
    <col min="2112" max="2112" width="0" hidden="1" customWidth="1"/>
    <col min="2114" max="2114" width="9.33203125" customWidth="1"/>
    <col min="2115" max="2115" width="10.33203125" customWidth="1"/>
    <col min="2116" max="2116" width="15.83203125" customWidth="1"/>
    <col min="2118" max="2118" width="6.75" customWidth="1"/>
    <col min="2305" max="2305" width="0.33203125" customWidth="1"/>
    <col min="2306" max="2306" width="17.25" customWidth="1"/>
    <col min="2307" max="2307" width="13.33203125" customWidth="1"/>
    <col min="2308" max="2308" width="9.58203125" customWidth="1"/>
    <col min="2309" max="2309" width="13.33203125" customWidth="1"/>
    <col min="2310" max="2310" width="8.58203125" customWidth="1"/>
    <col min="2311" max="2311" width="15.58203125" customWidth="1"/>
    <col min="2312" max="2312" width="16.08203125" customWidth="1"/>
    <col min="2313" max="2313" width="12.5" customWidth="1"/>
    <col min="2314" max="2314" width="12.08203125" customWidth="1"/>
    <col min="2315" max="2315" width="18.08203125" customWidth="1"/>
    <col min="2316" max="2316" width="16.25" customWidth="1"/>
    <col min="2317" max="2318" width="12.83203125" customWidth="1"/>
    <col min="2319" max="2319" width="11.33203125" customWidth="1"/>
    <col min="2320" max="2320" width="11.75" customWidth="1"/>
    <col min="2321" max="2321" width="10.83203125" customWidth="1"/>
    <col min="2322" max="2322" width="16" customWidth="1"/>
    <col min="2323" max="2323" width="14.08203125" customWidth="1"/>
    <col min="2324" max="2324" width="11.75" customWidth="1"/>
    <col min="2325" max="2325" width="13.33203125" customWidth="1"/>
    <col min="2326" max="2326" width="21.58203125" customWidth="1"/>
    <col min="2327" max="2327" width="16.08203125" customWidth="1"/>
    <col min="2328" max="2329" width="14" customWidth="1"/>
    <col min="2330" max="2330" width="9.58203125" customWidth="1"/>
    <col min="2331" max="2331" width="10.75" customWidth="1"/>
    <col min="2332" max="2332" width="9.58203125" customWidth="1"/>
    <col min="2333" max="2333" width="9.25" customWidth="1"/>
    <col min="2334" max="2334" width="9.33203125" customWidth="1"/>
    <col min="2335" max="2336" width="13.25" customWidth="1"/>
    <col min="2337" max="2337" width="8.25" bestFit="1" customWidth="1"/>
    <col min="2338" max="2338" width="10" customWidth="1"/>
    <col min="2340" max="2340" width="9.75" customWidth="1"/>
    <col min="2341" max="2341" width="9.33203125" customWidth="1"/>
    <col min="2342" max="2342" width="10.5" bestFit="1" customWidth="1"/>
    <col min="2349" max="2349" width="9.58203125" customWidth="1"/>
    <col min="2350" max="2350" width="14.75" customWidth="1"/>
    <col min="2351" max="2351" width="11.33203125" customWidth="1"/>
    <col min="2352" max="2352" width="9.83203125" customWidth="1"/>
    <col min="2353" max="2353" width="10.75" customWidth="1"/>
    <col min="2354" max="2354" width="10.08203125" bestFit="1" customWidth="1"/>
    <col min="2355" max="2355" width="12.5" customWidth="1"/>
    <col min="2356" max="2356" width="10.58203125" customWidth="1"/>
    <col min="2359" max="2359" width="15.75" customWidth="1"/>
    <col min="2360" max="2360" width="10" customWidth="1"/>
    <col min="2363" max="2363" width="8.83203125" customWidth="1"/>
    <col min="2364" max="2364" width="9.58203125" bestFit="1" customWidth="1"/>
    <col min="2365" max="2365" width="9.33203125" customWidth="1"/>
    <col min="2367" max="2367" width="7.25" customWidth="1"/>
    <col min="2368" max="2368" width="0" hidden="1" customWidth="1"/>
    <col min="2370" max="2370" width="9.33203125" customWidth="1"/>
    <col min="2371" max="2371" width="10.33203125" customWidth="1"/>
    <col min="2372" max="2372" width="15.83203125" customWidth="1"/>
    <col min="2374" max="2374" width="6.75" customWidth="1"/>
    <col min="2561" max="2561" width="0.33203125" customWidth="1"/>
    <col min="2562" max="2562" width="17.25" customWidth="1"/>
    <col min="2563" max="2563" width="13.33203125" customWidth="1"/>
    <col min="2564" max="2564" width="9.58203125" customWidth="1"/>
    <col min="2565" max="2565" width="13.33203125" customWidth="1"/>
    <col min="2566" max="2566" width="8.58203125" customWidth="1"/>
    <col min="2567" max="2567" width="15.58203125" customWidth="1"/>
    <col min="2568" max="2568" width="16.08203125" customWidth="1"/>
    <col min="2569" max="2569" width="12.5" customWidth="1"/>
    <col min="2570" max="2570" width="12.08203125" customWidth="1"/>
    <col min="2571" max="2571" width="18.08203125" customWidth="1"/>
    <col min="2572" max="2572" width="16.25" customWidth="1"/>
    <col min="2573" max="2574" width="12.83203125" customWidth="1"/>
    <col min="2575" max="2575" width="11.33203125" customWidth="1"/>
    <col min="2576" max="2576" width="11.75" customWidth="1"/>
    <col min="2577" max="2577" width="10.83203125" customWidth="1"/>
    <col min="2578" max="2578" width="16" customWidth="1"/>
    <col min="2579" max="2579" width="14.08203125" customWidth="1"/>
    <col min="2580" max="2580" width="11.75" customWidth="1"/>
    <col min="2581" max="2581" width="13.33203125" customWidth="1"/>
    <col min="2582" max="2582" width="21.58203125" customWidth="1"/>
    <col min="2583" max="2583" width="16.08203125" customWidth="1"/>
    <col min="2584" max="2585" width="14" customWidth="1"/>
    <col min="2586" max="2586" width="9.58203125" customWidth="1"/>
    <col min="2587" max="2587" width="10.75" customWidth="1"/>
    <col min="2588" max="2588" width="9.58203125" customWidth="1"/>
    <col min="2589" max="2589" width="9.25" customWidth="1"/>
    <col min="2590" max="2590" width="9.33203125" customWidth="1"/>
    <col min="2591" max="2592" width="13.25" customWidth="1"/>
    <col min="2593" max="2593" width="8.25" bestFit="1" customWidth="1"/>
    <col min="2594" max="2594" width="10" customWidth="1"/>
    <col min="2596" max="2596" width="9.75" customWidth="1"/>
    <col min="2597" max="2597" width="9.33203125" customWidth="1"/>
    <col min="2598" max="2598" width="10.5" bestFit="1" customWidth="1"/>
    <col min="2605" max="2605" width="9.58203125" customWidth="1"/>
    <col min="2606" max="2606" width="14.75" customWidth="1"/>
    <col min="2607" max="2607" width="11.33203125" customWidth="1"/>
    <col min="2608" max="2608" width="9.83203125" customWidth="1"/>
    <col min="2609" max="2609" width="10.75" customWidth="1"/>
    <col min="2610" max="2610" width="10.08203125" bestFit="1" customWidth="1"/>
    <col min="2611" max="2611" width="12.5" customWidth="1"/>
    <col min="2612" max="2612" width="10.58203125" customWidth="1"/>
    <col min="2615" max="2615" width="15.75" customWidth="1"/>
    <col min="2616" max="2616" width="10" customWidth="1"/>
    <col min="2619" max="2619" width="8.83203125" customWidth="1"/>
    <col min="2620" max="2620" width="9.58203125" bestFit="1" customWidth="1"/>
    <col min="2621" max="2621" width="9.33203125" customWidth="1"/>
    <col min="2623" max="2623" width="7.25" customWidth="1"/>
    <col min="2624" max="2624" width="0" hidden="1" customWidth="1"/>
    <col min="2626" max="2626" width="9.33203125" customWidth="1"/>
    <col min="2627" max="2627" width="10.33203125" customWidth="1"/>
    <col min="2628" max="2628" width="15.83203125" customWidth="1"/>
    <col min="2630" max="2630" width="6.75" customWidth="1"/>
    <col min="2817" max="2817" width="0.33203125" customWidth="1"/>
    <col min="2818" max="2818" width="17.25" customWidth="1"/>
    <col min="2819" max="2819" width="13.33203125" customWidth="1"/>
    <col min="2820" max="2820" width="9.58203125" customWidth="1"/>
    <col min="2821" max="2821" width="13.33203125" customWidth="1"/>
    <col min="2822" max="2822" width="8.58203125" customWidth="1"/>
    <col min="2823" max="2823" width="15.58203125" customWidth="1"/>
    <col min="2824" max="2824" width="16.08203125" customWidth="1"/>
    <col min="2825" max="2825" width="12.5" customWidth="1"/>
    <col min="2826" max="2826" width="12.08203125" customWidth="1"/>
    <col min="2827" max="2827" width="18.08203125" customWidth="1"/>
    <col min="2828" max="2828" width="16.25" customWidth="1"/>
    <col min="2829" max="2830" width="12.83203125" customWidth="1"/>
    <col min="2831" max="2831" width="11.33203125" customWidth="1"/>
    <col min="2832" max="2832" width="11.75" customWidth="1"/>
    <col min="2833" max="2833" width="10.83203125" customWidth="1"/>
    <col min="2834" max="2834" width="16" customWidth="1"/>
    <col min="2835" max="2835" width="14.08203125" customWidth="1"/>
    <col min="2836" max="2836" width="11.75" customWidth="1"/>
    <col min="2837" max="2837" width="13.33203125" customWidth="1"/>
    <col min="2838" max="2838" width="21.58203125" customWidth="1"/>
    <col min="2839" max="2839" width="16.08203125" customWidth="1"/>
    <col min="2840" max="2841" width="14" customWidth="1"/>
    <col min="2842" max="2842" width="9.58203125" customWidth="1"/>
    <col min="2843" max="2843" width="10.75" customWidth="1"/>
    <col min="2844" max="2844" width="9.58203125" customWidth="1"/>
    <col min="2845" max="2845" width="9.25" customWidth="1"/>
    <col min="2846" max="2846" width="9.33203125" customWidth="1"/>
    <col min="2847" max="2848" width="13.25" customWidth="1"/>
    <col min="2849" max="2849" width="8.25" bestFit="1" customWidth="1"/>
    <col min="2850" max="2850" width="10" customWidth="1"/>
    <col min="2852" max="2852" width="9.75" customWidth="1"/>
    <col min="2853" max="2853" width="9.33203125" customWidth="1"/>
    <col min="2854" max="2854" width="10.5" bestFit="1" customWidth="1"/>
    <col min="2861" max="2861" width="9.58203125" customWidth="1"/>
    <col min="2862" max="2862" width="14.75" customWidth="1"/>
    <col min="2863" max="2863" width="11.33203125" customWidth="1"/>
    <col min="2864" max="2864" width="9.83203125" customWidth="1"/>
    <col min="2865" max="2865" width="10.75" customWidth="1"/>
    <col min="2866" max="2866" width="10.08203125" bestFit="1" customWidth="1"/>
    <col min="2867" max="2867" width="12.5" customWidth="1"/>
    <col min="2868" max="2868" width="10.58203125" customWidth="1"/>
    <col min="2871" max="2871" width="15.75" customWidth="1"/>
    <col min="2872" max="2872" width="10" customWidth="1"/>
    <col min="2875" max="2875" width="8.83203125" customWidth="1"/>
    <col min="2876" max="2876" width="9.58203125" bestFit="1" customWidth="1"/>
    <col min="2877" max="2877" width="9.33203125" customWidth="1"/>
    <col min="2879" max="2879" width="7.25" customWidth="1"/>
    <col min="2880" max="2880" width="0" hidden="1" customWidth="1"/>
    <col min="2882" max="2882" width="9.33203125" customWidth="1"/>
    <col min="2883" max="2883" width="10.33203125" customWidth="1"/>
    <col min="2884" max="2884" width="15.83203125" customWidth="1"/>
    <col min="2886" max="2886" width="6.75" customWidth="1"/>
    <col min="3073" max="3073" width="0.33203125" customWidth="1"/>
    <col min="3074" max="3074" width="17.25" customWidth="1"/>
    <col min="3075" max="3075" width="13.33203125" customWidth="1"/>
    <col min="3076" max="3076" width="9.58203125" customWidth="1"/>
    <col min="3077" max="3077" width="13.33203125" customWidth="1"/>
    <col min="3078" max="3078" width="8.58203125" customWidth="1"/>
    <col min="3079" max="3079" width="15.58203125" customWidth="1"/>
    <col min="3080" max="3080" width="16.08203125" customWidth="1"/>
    <col min="3081" max="3081" width="12.5" customWidth="1"/>
    <col min="3082" max="3082" width="12.08203125" customWidth="1"/>
    <col min="3083" max="3083" width="18.08203125" customWidth="1"/>
    <col min="3084" max="3084" width="16.25" customWidth="1"/>
    <col min="3085" max="3086" width="12.83203125" customWidth="1"/>
    <col min="3087" max="3087" width="11.33203125" customWidth="1"/>
    <col min="3088" max="3088" width="11.75" customWidth="1"/>
    <col min="3089" max="3089" width="10.83203125" customWidth="1"/>
    <col min="3090" max="3090" width="16" customWidth="1"/>
    <col min="3091" max="3091" width="14.08203125" customWidth="1"/>
    <col min="3092" max="3092" width="11.75" customWidth="1"/>
    <col min="3093" max="3093" width="13.33203125" customWidth="1"/>
    <col min="3094" max="3094" width="21.58203125" customWidth="1"/>
    <col min="3095" max="3095" width="16.08203125" customWidth="1"/>
    <col min="3096" max="3097" width="14" customWidth="1"/>
    <col min="3098" max="3098" width="9.58203125" customWidth="1"/>
    <col min="3099" max="3099" width="10.75" customWidth="1"/>
    <col min="3100" max="3100" width="9.58203125" customWidth="1"/>
    <col min="3101" max="3101" width="9.25" customWidth="1"/>
    <col min="3102" max="3102" width="9.33203125" customWidth="1"/>
    <col min="3103" max="3104" width="13.25" customWidth="1"/>
    <col min="3105" max="3105" width="8.25" bestFit="1" customWidth="1"/>
    <col min="3106" max="3106" width="10" customWidth="1"/>
    <col min="3108" max="3108" width="9.75" customWidth="1"/>
    <col min="3109" max="3109" width="9.33203125" customWidth="1"/>
    <col min="3110" max="3110" width="10.5" bestFit="1" customWidth="1"/>
    <col min="3117" max="3117" width="9.58203125" customWidth="1"/>
    <col min="3118" max="3118" width="14.75" customWidth="1"/>
    <col min="3119" max="3119" width="11.33203125" customWidth="1"/>
    <col min="3120" max="3120" width="9.83203125" customWidth="1"/>
    <col min="3121" max="3121" width="10.75" customWidth="1"/>
    <col min="3122" max="3122" width="10.08203125" bestFit="1" customWidth="1"/>
    <col min="3123" max="3123" width="12.5" customWidth="1"/>
    <col min="3124" max="3124" width="10.58203125" customWidth="1"/>
    <col min="3127" max="3127" width="15.75" customWidth="1"/>
    <col min="3128" max="3128" width="10" customWidth="1"/>
    <col min="3131" max="3131" width="8.83203125" customWidth="1"/>
    <col min="3132" max="3132" width="9.58203125" bestFit="1" customWidth="1"/>
    <col min="3133" max="3133" width="9.33203125" customWidth="1"/>
    <col min="3135" max="3135" width="7.25" customWidth="1"/>
    <col min="3136" max="3136" width="0" hidden="1" customWidth="1"/>
    <col min="3138" max="3138" width="9.33203125" customWidth="1"/>
    <col min="3139" max="3139" width="10.33203125" customWidth="1"/>
    <col min="3140" max="3140" width="15.83203125" customWidth="1"/>
    <col min="3142" max="3142" width="6.75" customWidth="1"/>
    <col min="3329" max="3329" width="0.33203125" customWidth="1"/>
    <col min="3330" max="3330" width="17.25" customWidth="1"/>
    <col min="3331" max="3331" width="13.33203125" customWidth="1"/>
    <col min="3332" max="3332" width="9.58203125" customWidth="1"/>
    <col min="3333" max="3333" width="13.33203125" customWidth="1"/>
    <col min="3334" max="3334" width="8.58203125" customWidth="1"/>
    <col min="3335" max="3335" width="15.58203125" customWidth="1"/>
    <col min="3336" max="3336" width="16.08203125" customWidth="1"/>
    <col min="3337" max="3337" width="12.5" customWidth="1"/>
    <col min="3338" max="3338" width="12.08203125" customWidth="1"/>
    <col min="3339" max="3339" width="18.08203125" customWidth="1"/>
    <col min="3340" max="3340" width="16.25" customWidth="1"/>
    <col min="3341" max="3342" width="12.83203125" customWidth="1"/>
    <col min="3343" max="3343" width="11.33203125" customWidth="1"/>
    <col min="3344" max="3344" width="11.75" customWidth="1"/>
    <col min="3345" max="3345" width="10.83203125" customWidth="1"/>
    <col min="3346" max="3346" width="16" customWidth="1"/>
    <col min="3347" max="3347" width="14.08203125" customWidth="1"/>
    <col min="3348" max="3348" width="11.75" customWidth="1"/>
    <col min="3349" max="3349" width="13.33203125" customWidth="1"/>
    <col min="3350" max="3350" width="21.58203125" customWidth="1"/>
    <col min="3351" max="3351" width="16.08203125" customWidth="1"/>
    <col min="3352" max="3353" width="14" customWidth="1"/>
    <col min="3354" max="3354" width="9.58203125" customWidth="1"/>
    <col min="3355" max="3355" width="10.75" customWidth="1"/>
    <col min="3356" max="3356" width="9.58203125" customWidth="1"/>
    <col min="3357" max="3357" width="9.25" customWidth="1"/>
    <col min="3358" max="3358" width="9.33203125" customWidth="1"/>
    <col min="3359" max="3360" width="13.25" customWidth="1"/>
    <col min="3361" max="3361" width="8.25" bestFit="1" customWidth="1"/>
    <col min="3362" max="3362" width="10" customWidth="1"/>
    <col min="3364" max="3364" width="9.75" customWidth="1"/>
    <col min="3365" max="3365" width="9.33203125" customWidth="1"/>
    <col min="3366" max="3366" width="10.5" bestFit="1" customWidth="1"/>
    <col min="3373" max="3373" width="9.58203125" customWidth="1"/>
    <col min="3374" max="3374" width="14.75" customWidth="1"/>
    <col min="3375" max="3375" width="11.33203125" customWidth="1"/>
    <col min="3376" max="3376" width="9.83203125" customWidth="1"/>
    <col min="3377" max="3377" width="10.75" customWidth="1"/>
    <col min="3378" max="3378" width="10.08203125" bestFit="1" customWidth="1"/>
    <col min="3379" max="3379" width="12.5" customWidth="1"/>
    <col min="3380" max="3380" width="10.58203125" customWidth="1"/>
    <col min="3383" max="3383" width="15.75" customWidth="1"/>
    <col min="3384" max="3384" width="10" customWidth="1"/>
    <col min="3387" max="3387" width="8.83203125" customWidth="1"/>
    <col min="3388" max="3388" width="9.58203125" bestFit="1" customWidth="1"/>
    <col min="3389" max="3389" width="9.33203125" customWidth="1"/>
    <col min="3391" max="3391" width="7.25" customWidth="1"/>
    <col min="3392" max="3392" width="0" hidden="1" customWidth="1"/>
    <col min="3394" max="3394" width="9.33203125" customWidth="1"/>
    <col min="3395" max="3395" width="10.33203125" customWidth="1"/>
    <col min="3396" max="3396" width="15.83203125" customWidth="1"/>
    <col min="3398" max="3398" width="6.75" customWidth="1"/>
    <col min="3585" max="3585" width="0.33203125" customWidth="1"/>
    <col min="3586" max="3586" width="17.25" customWidth="1"/>
    <col min="3587" max="3587" width="13.33203125" customWidth="1"/>
    <col min="3588" max="3588" width="9.58203125" customWidth="1"/>
    <col min="3589" max="3589" width="13.33203125" customWidth="1"/>
    <col min="3590" max="3590" width="8.58203125" customWidth="1"/>
    <col min="3591" max="3591" width="15.58203125" customWidth="1"/>
    <col min="3592" max="3592" width="16.08203125" customWidth="1"/>
    <col min="3593" max="3593" width="12.5" customWidth="1"/>
    <col min="3594" max="3594" width="12.08203125" customWidth="1"/>
    <col min="3595" max="3595" width="18.08203125" customWidth="1"/>
    <col min="3596" max="3596" width="16.25" customWidth="1"/>
    <col min="3597" max="3598" width="12.83203125" customWidth="1"/>
    <col min="3599" max="3599" width="11.33203125" customWidth="1"/>
    <col min="3600" max="3600" width="11.75" customWidth="1"/>
    <col min="3601" max="3601" width="10.83203125" customWidth="1"/>
    <col min="3602" max="3602" width="16" customWidth="1"/>
    <col min="3603" max="3603" width="14.08203125" customWidth="1"/>
    <col min="3604" max="3604" width="11.75" customWidth="1"/>
    <col min="3605" max="3605" width="13.33203125" customWidth="1"/>
    <col min="3606" max="3606" width="21.58203125" customWidth="1"/>
    <col min="3607" max="3607" width="16.08203125" customWidth="1"/>
    <col min="3608" max="3609" width="14" customWidth="1"/>
    <col min="3610" max="3610" width="9.58203125" customWidth="1"/>
    <col min="3611" max="3611" width="10.75" customWidth="1"/>
    <col min="3612" max="3612" width="9.58203125" customWidth="1"/>
    <col min="3613" max="3613" width="9.25" customWidth="1"/>
    <col min="3614" max="3614" width="9.33203125" customWidth="1"/>
    <col min="3615" max="3616" width="13.25" customWidth="1"/>
    <col min="3617" max="3617" width="8.25" bestFit="1" customWidth="1"/>
    <col min="3618" max="3618" width="10" customWidth="1"/>
    <col min="3620" max="3620" width="9.75" customWidth="1"/>
    <col min="3621" max="3621" width="9.33203125" customWidth="1"/>
    <col min="3622" max="3622" width="10.5" bestFit="1" customWidth="1"/>
    <col min="3629" max="3629" width="9.58203125" customWidth="1"/>
    <col min="3630" max="3630" width="14.75" customWidth="1"/>
    <col min="3631" max="3631" width="11.33203125" customWidth="1"/>
    <col min="3632" max="3632" width="9.83203125" customWidth="1"/>
    <col min="3633" max="3633" width="10.75" customWidth="1"/>
    <col min="3634" max="3634" width="10.08203125" bestFit="1" customWidth="1"/>
    <col min="3635" max="3635" width="12.5" customWidth="1"/>
    <col min="3636" max="3636" width="10.58203125" customWidth="1"/>
    <col min="3639" max="3639" width="15.75" customWidth="1"/>
    <col min="3640" max="3640" width="10" customWidth="1"/>
    <col min="3643" max="3643" width="8.83203125" customWidth="1"/>
    <col min="3644" max="3644" width="9.58203125" bestFit="1" customWidth="1"/>
    <col min="3645" max="3645" width="9.33203125" customWidth="1"/>
    <col min="3647" max="3647" width="7.25" customWidth="1"/>
    <col min="3648" max="3648" width="0" hidden="1" customWidth="1"/>
    <col min="3650" max="3650" width="9.33203125" customWidth="1"/>
    <col min="3651" max="3651" width="10.33203125" customWidth="1"/>
    <col min="3652" max="3652" width="15.83203125" customWidth="1"/>
    <col min="3654" max="3654" width="6.75" customWidth="1"/>
    <col min="3841" max="3841" width="0.33203125" customWidth="1"/>
    <col min="3842" max="3842" width="17.25" customWidth="1"/>
    <col min="3843" max="3843" width="13.33203125" customWidth="1"/>
    <col min="3844" max="3844" width="9.58203125" customWidth="1"/>
    <col min="3845" max="3845" width="13.33203125" customWidth="1"/>
    <col min="3846" max="3846" width="8.58203125" customWidth="1"/>
    <col min="3847" max="3847" width="15.58203125" customWidth="1"/>
    <col min="3848" max="3848" width="16.08203125" customWidth="1"/>
    <col min="3849" max="3849" width="12.5" customWidth="1"/>
    <col min="3850" max="3850" width="12.08203125" customWidth="1"/>
    <col min="3851" max="3851" width="18.08203125" customWidth="1"/>
    <col min="3852" max="3852" width="16.25" customWidth="1"/>
    <col min="3853" max="3854" width="12.83203125" customWidth="1"/>
    <col min="3855" max="3855" width="11.33203125" customWidth="1"/>
    <col min="3856" max="3856" width="11.75" customWidth="1"/>
    <col min="3857" max="3857" width="10.83203125" customWidth="1"/>
    <col min="3858" max="3858" width="16" customWidth="1"/>
    <col min="3859" max="3859" width="14.08203125" customWidth="1"/>
    <col min="3860" max="3860" width="11.75" customWidth="1"/>
    <col min="3861" max="3861" width="13.33203125" customWidth="1"/>
    <col min="3862" max="3862" width="21.58203125" customWidth="1"/>
    <col min="3863" max="3863" width="16.08203125" customWidth="1"/>
    <col min="3864" max="3865" width="14" customWidth="1"/>
    <col min="3866" max="3866" width="9.58203125" customWidth="1"/>
    <col min="3867" max="3867" width="10.75" customWidth="1"/>
    <col min="3868" max="3868" width="9.58203125" customWidth="1"/>
    <col min="3869" max="3869" width="9.25" customWidth="1"/>
    <col min="3870" max="3870" width="9.33203125" customWidth="1"/>
    <col min="3871" max="3872" width="13.25" customWidth="1"/>
    <col min="3873" max="3873" width="8.25" bestFit="1" customWidth="1"/>
    <col min="3874" max="3874" width="10" customWidth="1"/>
    <col min="3876" max="3876" width="9.75" customWidth="1"/>
    <col min="3877" max="3877" width="9.33203125" customWidth="1"/>
    <col min="3878" max="3878" width="10.5" bestFit="1" customWidth="1"/>
    <col min="3885" max="3885" width="9.58203125" customWidth="1"/>
    <col min="3886" max="3886" width="14.75" customWidth="1"/>
    <col min="3887" max="3887" width="11.33203125" customWidth="1"/>
    <col min="3888" max="3888" width="9.83203125" customWidth="1"/>
    <col min="3889" max="3889" width="10.75" customWidth="1"/>
    <col min="3890" max="3890" width="10.08203125" bestFit="1" customWidth="1"/>
    <col min="3891" max="3891" width="12.5" customWidth="1"/>
    <col min="3892" max="3892" width="10.58203125" customWidth="1"/>
    <col min="3895" max="3895" width="15.75" customWidth="1"/>
    <col min="3896" max="3896" width="10" customWidth="1"/>
    <col min="3899" max="3899" width="8.83203125" customWidth="1"/>
    <col min="3900" max="3900" width="9.58203125" bestFit="1" customWidth="1"/>
    <col min="3901" max="3901" width="9.33203125" customWidth="1"/>
    <col min="3903" max="3903" width="7.25" customWidth="1"/>
    <col min="3904" max="3904" width="0" hidden="1" customWidth="1"/>
    <col min="3906" max="3906" width="9.33203125" customWidth="1"/>
    <col min="3907" max="3907" width="10.33203125" customWidth="1"/>
    <col min="3908" max="3908" width="15.83203125" customWidth="1"/>
    <col min="3910" max="3910" width="6.75" customWidth="1"/>
    <col min="4097" max="4097" width="0.33203125" customWidth="1"/>
    <col min="4098" max="4098" width="17.25" customWidth="1"/>
    <col min="4099" max="4099" width="13.33203125" customWidth="1"/>
    <col min="4100" max="4100" width="9.58203125" customWidth="1"/>
    <col min="4101" max="4101" width="13.33203125" customWidth="1"/>
    <col min="4102" max="4102" width="8.58203125" customWidth="1"/>
    <col min="4103" max="4103" width="15.58203125" customWidth="1"/>
    <col min="4104" max="4104" width="16.08203125" customWidth="1"/>
    <col min="4105" max="4105" width="12.5" customWidth="1"/>
    <col min="4106" max="4106" width="12.08203125" customWidth="1"/>
    <col min="4107" max="4107" width="18.08203125" customWidth="1"/>
    <col min="4108" max="4108" width="16.25" customWidth="1"/>
    <col min="4109" max="4110" width="12.83203125" customWidth="1"/>
    <col min="4111" max="4111" width="11.33203125" customWidth="1"/>
    <col min="4112" max="4112" width="11.75" customWidth="1"/>
    <col min="4113" max="4113" width="10.83203125" customWidth="1"/>
    <col min="4114" max="4114" width="16" customWidth="1"/>
    <col min="4115" max="4115" width="14.08203125" customWidth="1"/>
    <col min="4116" max="4116" width="11.75" customWidth="1"/>
    <col min="4117" max="4117" width="13.33203125" customWidth="1"/>
    <col min="4118" max="4118" width="21.58203125" customWidth="1"/>
    <col min="4119" max="4119" width="16.08203125" customWidth="1"/>
    <col min="4120" max="4121" width="14" customWidth="1"/>
    <col min="4122" max="4122" width="9.58203125" customWidth="1"/>
    <col min="4123" max="4123" width="10.75" customWidth="1"/>
    <col min="4124" max="4124" width="9.58203125" customWidth="1"/>
    <col min="4125" max="4125" width="9.25" customWidth="1"/>
    <col min="4126" max="4126" width="9.33203125" customWidth="1"/>
    <col min="4127" max="4128" width="13.25" customWidth="1"/>
    <col min="4129" max="4129" width="8.25" bestFit="1" customWidth="1"/>
    <col min="4130" max="4130" width="10" customWidth="1"/>
    <col min="4132" max="4132" width="9.75" customWidth="1"/>
    <col min="4133" max="4133" width="9.33203125" customWidth="1"/>
    <col min="4134" max="4134" width="10.5" bestFit="1" customWidth="1"/>
    <col min="4141" max="4141" width="9.58203125" customWidth="1"/>
    <col min="4142" max="4142" width="14.75" customWidth="1"/>
    <col min="4143" max="4143" width="11.33203125" customWidth="1"/>
    <col min="4144" max="4144" width="9.83203125" customWidth="1"/>
    <col min="4145" max="4145" width="10.75" customWidth="1"/>
    <col min="4146" max="4146" width="10.08203125" bestFit="1" customWidth="1"/>
    <col min="4147" max="4147" width="12.5" customWidth="1"/>
    <col min="4148" max="4148" width="10.58203125" customWidth="1"/>
    <col min="4151" max="4151" width="15.75" customWidth="1"/>
    <col min="4152" max="4152" width="10" customWidth="1"/>
    <col min="4155" max="4155" width="8.83203125" customWidth="1"/>
    <col min="4156" max="4156" width="9.58203125" bestFit="1" customWidth="1"/>
    <col min="4157" max="4157" width="9.33203125" customWidth="1"/>
    <col min="4159" max="4159" width="7.25" customWidth="1"/>
    <col min="4160" max="4160" width="0" hidden="1" customWidth="1"/>
    <col min="4162" max="4162" width="9.33203125" customWidth="1"/>
    <col min="4163" max="4163" width="10.33203125" customWidth="1"/>
    <col min="4164" max="4164" width="15.83203125" customWidth="1"/>
    <col min="4166" max="4166" width="6.75" customWidth="1"/>
    <col min="4353" max="4353" width="0.33203125" customWidth="1"/>
    <col min="4354" max="4354" width="17.25" customWidth="1"/>
    <col min="4355" max="4355" width="13.33203125" customWidth="1"/>
    <col min="4356" max="4356" width="9.58203125" customWidth="1"/>
    <col min="4357" max="4357" width="13.33203125" customWidth="1"/>
    <col min="4358" max="4358" width="8.58203125" customWidth="1"/>
    <col min="4359" max="4359" width="15.58203125" customWidth="1"/>
    <col min="4360" max="4360" width="16.08203125" customWidth="1"/>
    <col min="4361" max="4361" width="12.5" customWidth="1"/>
    <col min="4362" max="4362" width="12.08203125" customWidth="1"/>
    <col min="4363" max="4363" width="18.08203125" customWidth="1"/>
    <col min="4364" max="4364" width="16.25" customWidth="1"/>
    <col min="4365" max="4366" width="12.83203125" customWidth="1"/>
    <col min="4367" max="4367" width="11.33203125" customWidth="1"/>
    <col min="4368" max="4368" width="11.75" customWidth="1"/>
    <col min="4369" max="4369" width="10.83203125" customWidth="1"/>
    <col min="4370" max="4370" width="16" customWidth="1"/>
    <col min="4371" max="4371" width="14.08203125" customWidth="1"/>
    <col min="4372" max="4372" width="11.75" customWidth="1"/>
    <col min="4373" max="4373" width="13.33203125" customWidth="1"/>
    <col min="4374" max="4374" width="21.58203125" customWidth="1"/>
    <col min="4375" max="4375" width="16.08203125" customWidth="1"/>
    <col min="4376" max="4377" width="14" customWidth="1"/>
    <col min="4378" max="4378" width="9.58203125" customWidth="1"/>
    <col min="4379" max="4379" width="10.75" customWidth="1"/>
    <col min="4380" max="4380" width="9.58203125" customWidth="1"/>
    <col min="4381" max="4381" width="9.25" customWidth="1"/>
    <col min="4382" max="4382" width="9.33203125" customWidth="1"/>
    <col min="4383" max="4384" width="13.25" customWidth="1"/>
    <col min="4385" max="4385" width="8.25" bestFit="1" customWidth="1"/>
    <col min="4386" max="4386" width="10" customWidth="1"/>
    <col min="4388" max="4388" width="9.75" customWidth="1"/>
    <col min="4389" max="4389" width="9.33203125" customWidth="1"/>
    <col min="4390" max="4390" width="10.5" bestFit="1" customWidth="1"/>
    <col min="4397" max="4397" width="9.58203125" customWidth="1"/>
    <col min="4398" max="4398" width="14.75" customWidth="1"/>
    <col min="4399" max="4399" width="11.33203125" customWidth="1"/>
    <col min="4400" max="4400" width="9.83203125" customWidth="1"/>
    <col min="4401" max="4401" width="10.75" customWidth="1"/>
    <col min="4402" max="4402" width="10.08203125" bestFit="1" customWidth="1"/>
    <col min="4403" max="4403" width="12.5" customWidth="1"/>
    <col min="4404" max="4404" width="10.58203125" customWidth="1"/>
    <col min="4407" max="4407" width="15.75" customWidth="1"/>
    <col min="4408" max="4408" width="10" customWidth="1"/>
    <col min="4411" max="4411" width="8.83203125" customWidth="1"/>
    <col min="4412" max="4412" width="9.58203125" bestFit="1" customWidth="1"/>
    <col min="4413" max="4413" width="9.33203125" customWidth="1"/>
    <col min="4415" max="4415" width="7.25" customWidth="1"/>
    <col min="4416" max="4416" width="0" hidden="1" customWidth="1"/>
    <col min="4418" max="4418" width="9.33203125" customWidth="1"/>
    <col min="4419" max="4419" width="10.33203125" customWidth="1"/>
    <col min="4420" max="4420" width="15.83203125" customWidth="1"/>
    <col min="4422" max="4422" width="6.75" customWidth="1"/>
    <col min="4609" max="4609" width="0.33203125" customWidth="1"/>
    <col min="4610" max="4610" width="17.25" customWidth="1"/>
    <col min="4611" max="4611" width="13.33203125" customWidth="1"/>
    <col min="4612" max="4612" width="9.58203125" customWidth="1"/>
    <col min="4613" max="4613" width="13.33203125" customWidth="1"/>
    <col min="4614" max="4614" width="8.58203125" customWidth="1"/>
    <col min="4615" max="4615" width="15.58203125" customWidth="1"/>
    <col min="4616" max="4616" width="16.08203125" customWidth="1"/>
    <col min="4617" max="4617" width="12.5" customWidth="1"/>
    <col min="4618" max="4618" width="12.08203125" customWidth="1"/>
    <col min="4619" max="4619" width="18.08203125" customWidth="1"/>
    <col min="4620" max="4620" width="16.25" customWidth="1"/>
    <col min="4621" max="4622" width="12.83203125" customWidth="1"/>
    <col min="4623" max="4623" width="11.33203125" customWidth="1"/>
    <col min="4624" max="4624" width="11.75" customWidth="1"/>
    <col min="4625" max="4625" width="10.83203125" customWidth="1"/>
    <col min="4626" max="4626" width="16" customWidth="1"/>
    <col min="4627" max="4627" width="14.08203125" customWidth="1"/>
    <col min="4628" max="4628" width="11.75" customWidth="1"/>
    <col min="4629" max="4629" width="13.33203125" customWidth="1"/>
    <col min="4630" max="4630" width="21.58203125" customWidth="1"/>
    <col min="4631" max="4631" width="16.08203125" customWidth="1"/>
    <col min="4632" max="4633" width="14" customWidth="1"/>
    <col min="4634" max="4634" width="9.58203125" customWidth="1"/>
    <col min="4635" max="4635" width="10.75" customWidth="1"/>
    <col min="4636" max="4636" width="9.58203125" customWidth="1"/>
    <col min="4637" max="4637" width="9.25" customWidth="1"/>
    <col min="4638" max="4638" width="9.33203125" customWidth="1"/>
    <col min="4639" max="4640" width="13.25" customWidth="1"/>
    <col min="4641" max="4641" width="8.25" bestFit="1" customWidth="1"/>
    <col min="4642" max="4642" width="10" customWidth="1"/>
    <col min="4644" max="4644" width="9.75" customWidth="1"/>
    <col min="4645" max="4645" width="9.33203125" customWidth="1"/>
    <col min="4646" max="4646" width="10.5" bestFit="1" customWidth="1"/>
    <col min="4653" max="4653" width="9.58203125" customWidth="1"/>
    <col min="4654" max="4654" width="14.75" customWidth="1"/>
    <col min="4655" max="4655" width="11.33203125" customWidth="1"/>
    <col min="4656" max="4656" width="9.83203125" customWidth="1"/>
    <col min="4657" max="4657" width="10.75" customWidth="1"/>
    <col min="4658" max="4658" width="10.08203125" bestFit="1" customWidth="1"/>
    <col min="4659" max="4659" width="12.5" customWidth="1"/>
    <col min="4660" max="4660" width="10.58203125" customWidth="1"/>
    <col min="4663" max="4663" width="15.75" customWidth="1"/>
    <col min="4664" max="4664" width="10" customWidth="1"/>
    <col min="4667" max="4667" width="8.83203125" customWidth="1"/>
    <col min="4668" max="4668" width="9.58203125" bestFit="1" customWidth="1"/>
    <col min="4669" max="4669" width="9.33203125" customWidth="1"/>
    <col min="4671" max="4671" width="7.25" customWidth="1"/>
    <col min="4672" max="4672" width="0" hidden="1" customWidth="1"/>
    <col min="4674" max="4674" width="9.33203125" customWidth="1"/>
    <col min="4675" max="4675" width="10.33203125" customWidth="1"/>
    <col min="4676" max="4676" width="15.83203125" customWidth="1"/>
    <col min="4678" max="4678" width="6.75" customWidth="1"/>
    <col min="4865" max="4865" width="0.33203125" customWidth="1"/>
    <col min="4866" max="4866" width="17.25" customWidth="1"/>
    <col min="4867" max="4867" width="13.33203125" customWidth="1"/>
    <col min="4868" max="4868" width="9.58203125" customWidth="1"/>
    <col min="4869" max="4869" width="13.33203125" customWidth="1"/>
    <col min="4870" max="4870" width="8.58203125" customWidth="1"/>
    <col min="4871" max="4871" width="15.58203125" customWidth="1"/>
    <col min="4872" max="4872" width="16.08203125" customWidth="1"/>
    <col min="4873" max="4873" width="12.5" customWidth="1"/>
    <col min="4874" max="4874" width="12.08203125" customWidth="1"/>
    <col min="4875" max="4875" width="18.08203125" customWidth="1"/>
    <col min="4876" max="4876" width="16.25" customWidth="1"/>
    <col min="4877" max="4878" width="12.83203125" customWidth="1"/>
    <col min="4879" max="4879" width="11.33203125" customWidth="1"/>
    <col min="4880" max="4880" width="11.75" customWidth="1"/>
    <col min="4881" max="4881" width="10.83203125" customWidth="1"/>
    <col min="4882" max="4882" width="16" customWidth="1"/>
    <col min="4883" max="4883" width="14.08203125" customWidth="1"/>
    <col min="4884" max="4884" width="11.75" customWidth="1"/>
    <col min="4885" max="4885" width="13.33203125" customWidth="1"/>
    <col min="4886" max="4886" width="21.58203125" customWidth="1"/>
    <col min="4887" max="4887" width="16.08203125" customWidth="1"/>
    <col min="4888" max="4889" width="14" customWidth="1"/>
    <col min="4890" max="4890" width="9.58203125" customWidth="1"/>
    <col min="4891" max="4891" width="10.75" customWidth="1"/>
    <col min="4892" max="4892" width="9.58203125" customWidth="1"/>
    <col min="4893" max="4893" width="9.25" customWidth="1"/>
    <col min="4894" max="4894" width="9.33203125" customWidth="1"/>
    <col min="4895" max="4896" width="13.25" customWidth="1"/>
    <col min="4897" max="4897" width="8.25" bestFit="1" customWidth="1"/>
    <col min="4898" max="4898" width="10" customWidth="1"/>
    <col min="4900" max="4900" width="9.75" customWidth="1"/>
    <col min="4901" max="4901" width="9.33203125" customWidth="1"/>
    <col min="4902" max="4902" width="10.5" bestFit="1" customWidth="1"/>
    <col min="4909" max="4909" width="9.58203125" customWidth="1"/>
    <col min="4910" max="4910" width="14.75" customWidth="1"/>
    <col min="4911" max="4911" width="11.33203125" customWidth="1"/>
    <col min="4912" max="4912" width="9.83203125" customWidth="1"/>
    <col min="4913" max="4913" width="10.75" customWidth="1"/>
    <col min="4914" max="4914" width="10.08203125" bestFit="1" customWidth="1"/>
    <col min="4915" max="4915" width="12.5" customWidth="1"/>
    <col min="4916" max="4916" width="10.58203125" customWidth="1"/>
    <col min="4919" max="4919" width="15.75" customWidth="1"/>
    <col min="4920" max="4920" width="10" customWidth="1"/>
    <col min="4923" max="4923" width="8.83203125" customWidth="1"/>
    <col min="4924" max="4924" width="9.58203125" bestFit="1" customWidth="1"/>
    <col min="4925" max="4925" width="9.33203125" customWidth="1"/>
    <col min="4927" max="4927" width="7.25" customWidth="1"/>
    <col min="4928" max="4928" width="0" hidden="1" customWidth="1"/>
    <col min="4930" max="4930" width="9.33203125" customWidth="1"/>
    <col min="4931" max="4931" width="10.33203125" customWidth="1"/>
    <col min="4932" max="4932" width="15.83203125" customWidth="1"/>
    <col min="4934" max="4934" width="6.75" customWidth="1"/>
    <col min="5121" max="5121" width="0.33203125" customWidth="1"/>
    <col min="5122" max="5122" width="17.25" customWidth="1"/>
    <col min="5123" max="5123" width="13.33203125" customWidth="1"/>
    <col min="5124" max="5124" width="9.58203125" customWidth="1"/>
    <col min="5125" max="5125" width="13.33203125" customWidth="1"/>
    <col min="5126" max="5126" width="8.58203125" customWidth="1"/>
    <col min="5127" max="5127" width="15.58203125" customWidth="1"/>
    <col min="5128" max="5128" width="16.08203125" customWidth="1"/>
    <col min="5129" max="5129" width="12.5" customWidth="1"/>
    <col min="5130" max="5130" width="12.08203125" customWidth="1"/>
    <col min="5131" max="5131" width="18.08203125" customWidth="1"/>
    <col min="5132" max="5132" width="16.25" customWidth="1"/>
    <col min="5133" max="5134" width="12.83203125" customWidth="1"/>
    <col min="5135" max="5135" width="11.33203125" customWidth="1"/>
    <col min="5136" max="5136" width="11.75" customWidth="1"/>
    <col min="5137" max="5137" width="10.83203125" customWidth="1"/>
    <col min="5138" max="5138" width="16" customWidth="1"/>
    <col min="5139" max="5139" width="14.08203125" customWidth="1"/>
    <col min="5140" max="5140" width="11.75" customWidth="1"/>
    <col min="5141" max="5141" width="13.33203125" customWidth="1"/>
    <col min="5142" max="5142" width="21.58203125" customWidth="1"/>
    <col min="5143" max="5143" width="16.08203125" customWidth="1"/>
    <col min="5144" max="5145" width="14" customWidth="1"/>
    <col min="5146" max="5146" width="9.58203125" customWidth="1"/>
    <col min="5147" max="5147" width="10.75" customWidth="1"/>
    <col min="5148" max="5148" width="9.58203125" customWidth="1"/>
    <col min="5149" max="5149" width="9.25" customWidth="1"/>
    <col min="5150" max="5150" width="9.33203125" customWidth="1"/>
    <col min="5151" max="5152" width="13.25" customWidth="1"/>
    <col min="5153" max="5153" width="8.25" bestFit="1" customWidth="1"/>
    <col min="5154" max="5154" width="10" customWidth="1"/>
    <col min="5156" max="5156" width="9.75" customWidth="1"/>
    <col min="5157" max="5157" width="9.33203125" customWidth="1"/>
    <col min="5158" max="5158" width="10.5" bestFit="1" customWidth="1"/>
    <col min="5165" max="5165" width="9.58203125" customWidth="1"/>
    <col min="5166" max="5166" width="14.75" customWidth="1"/>
    <col min="5167" max="5167" width="11.33203125" customWidth="1"/>
    <col min="5168" max="5168" width="9.83203125" customWidth="1"/>
    <col min="5169" max="5169" width="10.75" customWidth="1"/>
    <col min="5170" max="5170" width="10.08203125" bestFit="1" customWidth="1"/>
    <col min="5171" max="5171" width="12.5" customWidth="1"/>
    <col min="5172" max="5172" width="10.58203125" customWidth="1"/>
    <col min="5175" max="5175" width="15.75" customWidth="1"/>
    <col min="5176" max="5176" width="10" customWidth="1"/>
    <col min="5179" max="5179" width="8.83203125" customWidth="1"/>
    <col min="5180" max="5180" width="9.58203125" bestFit="1" customWidth="1"/>
    <col min="5181" max="5181" width="9.33203125" customWidth="1"/>
    <col min="5183" max="5183" width="7.25" customWidth="1"/>
    <col min="5184" max="5184" width="0" hidden="1" customWidth="1"/>
    <col min="5186" max="5186" width="9.33203125" customWidth="1"/>
    <col min="5187" max="5187" width="10.33203125" customWidth="1"/>
    <col min="5188" max="5188" width="15.83203125" customWidth="1"/>
    <col min="5190" max="5190" width="6.75" customWidth="1"/>
    <col min="5377" max="5377" width="0.33203125" customWidth="1"/>
    <col min="5378" max="5378" width="17.25" customWidth="1"/>
    <col min="5379" max="5379" width="13.33203125" customWidth="1"/>
    <col min="5380" max="5380" width="9.58203125" customWidth="1"/>
    <col min="5381" max="5381" width="13.33203125" customWidth="1"/>
    <col min="5382" max="5382" width="8.58203125" customWidth="1"/>
    <col min="5383" max="5383" width="15.58203125" customWidth="1"/>
    <col min="5384" max="5384" width="16.08203125" customWidth="1"/>
    <col min="5385" max="5385" width="12.5" customWidth="1"/>
    <col min="5386" max="5386" width="12.08203125" customWidth="1"/>
    <col min="5387" max="5387" width="18.08203125" customWidth="1"/>
    <col min="5388" max="5388" width="16.25" customWidth="1"/>
    <col min="5389" max="5390" width="12.83203125" customWidth="1"/>
    <col min="5391" max="5391" width="11.33203125" customWidth="1"/>
    <col min="5392" max="5392" width="11.75" customWidth="1"/>
    <col min="5393" max="5393" width="10.83203125" customWidth="1"/>
    <col min="5394" max="5394" width="16" customWidth="1"/>
    <col min="5395" max="5395" width="14.08203125" customWidth="1"/>
    <col min="5396" max="5396" width="11.75" customWidth="1"/>
    <col min="5397" max="5397" width="13.33203125" customWidth="1"/>
    <col min="5398" max="5398" width="21.58203125" customWidth="1"/>
    <col min="5399" max="5399" width="16.08203125" customWidth="1"/>
    <col min="5400" max="5401" width="14" customWidth="1"/>
    <col min="5402" max="5402" width="9.58203125" customWidth="1"/>
    <col min="5403" max="5403" width="10.75" customWidth="1"/>
    <col min="5404" max="5404" width="9.58203125" customWidth="1"/>
    <col min="5405" max="5405" width="9.25" customWidth="1"/>
    <col min="5406" max="5406" width="9.33203125" customWidth="1"/>
    <col min="5407" max="5408" width="13.25" customWidth="1"/>
    <col min="5409" max="5409" width="8.25" bestFit="1" customWidth="1"/>
    <col min="5410" max="5410" width="10" customWidth="1"/>
    <col min="5412" max="5412" width="9.75" customWidth="1"/>
    <col min="5413" max="5413" width="9.33203125" customWidth="1"/>
    <col min="5414" max="5414" width="10.5" bestFit="1" customWidth="1"/>
    <col min="5421" max="5421" width="9.58203125" customWidth="1"/>
    <col min="5422" max="5422" width="14.75" customWidth="1"/>
    <col min="5423" max="5423" width="11.33203125" customWidth="1"/>
    <col min="5424" max="5424" width="9.83203125" customWidth="1"/>
    <col min="5425" max="5425" width="10.75" customWidth="1"/>
    <col min="5426" max="5426" width="10.08203125" bestFit="1" customWidth="1"/>
    <col min="5427" max="5427" width="12.5" customWidth="1"/>
    <col min="5428" max="5428" width="10.58203125" customWidth="1"/>
    <col min="5431" max="5431" width="15.75" customWidth="1"/>
    <col min="5432" max="5432" width="10" customWidth="1"/>
    <col min="5435" max="5435" width="8.83203125" customWidth="1"/>
    <col min="5436" max="5436" width="9.58203125" bestFit="1" customWidth="1"/>
    <col min="5437" max="5437" width="9.33203125" customWidth="1"/>
    <col min="5439" max="5439" width="7.25" customWidth="1"/>
    <col min="5440" max="5440" width="0" hidden="1" customWidth="1"/>
    <col min="5442" max="5442" width="9.33203125" customWidth="1"/>
    <col min="5443" max="5443" width="10.33203125" customWidth="1"/>
    <col min="5444" max="5444" width="15.83203125" customWidth="1"/>
    <col min="5446" max="5446" width="6.75" customWidth="1"/>
    <col min="5633" max="5633" width="0.33203125" customWidth="1"/>
    <col min="5634" max="5634" width="17.25" customWidth="1"/>
    <col min="5635" max="5635" width="13.33203125" customWidth="1"/>
    <col min="5636" max="5636" width="9.58203125" customWidth="1"/>
    <col min="5637" max="5637" width="13.33203125" customWidth="1"/>
    <col min="5638" max="5638" width="8.58203125" customWidth="1"/>
    <col min="5639" max="5639" width="15.58203125" customWidth="1"/>
    <col min="5640" max="5640" width="16.08203125" customWidth="1"/>
    <col min="5641" max="5641" width="12.5" customWidth="1"/>
    <col min="5642" max="5642" width="12.08203125" customWidth="1"/>
    <col min="5643" max="5643" width="18.08203125" customWidth="1"/>
    <col min="5644" max="5644" width="16.25" customWidth="1"/>
    <col min="5645" max="5646" width="12.83203125" customWidth="1"/>
    <col min="5647" max="5647" width="11.33203125" customWidth="1"/>
    <col min="5648" max="5648" width="11.75" customWidth="1"/>
    <col min="5649" max="5649" width="10.83203125" customWidth="1"/>
    <col min="5650" max="5650" width="16" customWidth="1"/>
    <col min="5651" max="5651" width="14.08203125" customWidth="1"/>
    <col min="5652" max="5652" width="11.75" customWidth="1"/>
    <col min="5653" max="5653" width="13.33203125" customWidth="1"/>
    <col min="5654" max="5654" width="21.58203125" customWidth="1"/>
    <col min="5655" max="5655" width="16.08203125" customWidth="1"/>
    <col min="5656" max="5657" width="14" customWidth="1"/>
    <col min="5658" max="5658" width="9.58203125" customWidth="1"/>
    <col min="5659" max="5659" width="10.75" customWidth="1"/>
    <col min="5660" max="5660" width="9.58203125" customWidth="1"/>
    <col min="5661" max="5661" width="9.25" customWidth="1"/>
    <col min="5662" max="5662" width="9.33203125" customWidth="1"/>
    <col min="5663" max="5664" width="13.25" customWidth="1"/>
    <col min="5665" max="5665" width="8.25" bestFit="1" customWidth="1"/>
    <col min="5666" max="5666" width="10" customWidth="1"/>
    <col min="5668" max="5668" width="9.75" customWidth="1"/>
    <col min="5669" max="5669" width="9.33203125" customWidth="1"/>
    <col min="5670" max="5670" width="10.5" bestFit="1" customWidth="1"/>
    <col min="5677" max="5677" width="9.58203125" customWidth="1"/>
    <col min="5678" max="5678" width="14.75" customWidth="1"/>
    <col min="5679" max="5679" width="11.33203125" customWidth="1"/>
    <col min="5680" max="5680" width="9.83203125" customWidth="1"/>
    <col min="5681" max="5681" width="10.75" customWidth="1"/>
    <col min="5682" max="5682" width="10.08203125" bestFit="1" customWidth="1"/>
    <col min="5683" max="5683" width="12.5" customWidth="1"/>
    <col min="5684" max="5684" width="10.58203125" customWidth="1"/>
    <col min="5687" max="5687" width="15.75" customWidth="1"/>
    <col min="5688" max="5688" width="10" customWidth="1"/>
    <col min="5691" max="5691" width="8.83203125" customWidth="1"/>
    <col min="5692" max="5692" width="9.58203125" bestFit="1" customWidth="1"/>
    <col min="5693" max="5693" width="9.33203125" customWidth="1"/>
    <col min="5695" max="5695" width="7.25" customWidth="1"/>
    <col min="5696" max="5696" width="0" hidden="1" customWidth="1"/>
    <col min="5698" max="5698" width="9.33203125" customWidth="1"/>
    <col min="5699" max="5699" width="10.33203125" customWidth="1"/>
    <col min="5700" max="5700" width="15.83203125" customWidth="1"/>
    <col min="5702" max="5702" width="6.75" customWidth="1"/>
    <col min="5889" max="5889" width="0.33203125" customWidth="1"/>
    <col min="5890" max="5890" width="17.25" customWidth="1"/>
    <col min="5891" max="5891" width="13.33203125" customWidth="1"/>
    <col min="5892" max="5892" width="9.58203125" customWidth="1"/>
    <col min="5893" max="5893" width="13.33203125" customWidth="1"/>
    <col min="5894" max="5894" width="8.58203125" customWidth="1"/>
    <col min="5895" max="5895" width="15.58203125" customWidth="1"/>
    <col min="5896" max="5896" width="16.08203125" customWidth="1"/>
    <col min="5897" max="5897" width="12.5" customWidth="1"/>
    <col min="5898" max="5898" width="12.08203125" customWidth="1"/>
    <col min="5899" max="5899" width="18.08203125" customWidth="1"/>
    <col min="5900" max="5900" width="16.25" customWidth="1"/>
    <col min="5901" max="5902" width="12.83203125" customWidth="1"/>
    <col min="5903" max="5903" width="11.33203125" customWidth="1"/>
    <col min="5904" max="5904" width="11.75" customWidth="1"/>
    <col min="5905" max="5905" width="10.83203125" customWidth="1"/>
    <col min="5906" max="5906" width="16" customWidth="1"/>
    <col min="5907" max="5907" width="14.08203125" customWidth="1"/>
    <col min="5908" max="5908" width="11.75" customWidth="1"/>
    <col min="5909" max="5909" width="13.33203125" customWidth="1"/>
    <col min="5910" max="5910" width="21.58203125" customWidth="1"/>
    <col min="5911" max="5911" width="16.08203125" customWidth="1"/>
    <col min="5912" max="5913" width="14" customWidth="1"/>
    <col min="5914" max="5914" width="9.58203125" customWidth="1"/>
    <col min="5915" max="5915" width="10.75" customWidth="1"/>
    <col min="5916" max="5916" width="9.58203125" customWidth="1"/>
    <col min="5917" max="5917" width="9.25" customWidth="1"/>
    <col min="5918" max="5918" width="9.33203125" customWidth="1"/>
    <col min="5919" max="5920" width="13.25" customWidth="1"/>
    <col min="5921" max="5921" width="8.25" bestFit="1" customWidth="1"/>
    <col min="5922" max="5922" width="10" customWidth="1"/>
    <col min="5924" max="5924" width="9.75" customWidth="1"/>
    <col min="5925" max="5925" width="9.33203125" customWidth="1"/>
    <col min="5926" max="5926" width="10.5" bestFit="1" customWidth="1"/>
    <col min="5933" max="5933" width="9.58203125" customWidth="1"/>
    <col min="5934" max="5934" width="14.75" customWidth="1"/>
    <col min="5935" max="5935" width="11.33203125" customWidth="1"/>
    <col min="5936" max="5936" width="9.83203125" customWidth="1"/>
    <col min="5937" max="5937" width="10.75" customWidth="1"/>
    <col min="5938" max="5938" width="10.08203125" bestFit="1" customWidth="1"/>
    <col min="5939" max="5939" width="12.5" customWidth="1"/>
    <col min="5940" max="5940" width="10.58203125" customWidth="1"/>
    <col min="5943" max="5943" width="15.75" customWidth="1"/>
    <col min="5944" max="5944" width="10" customWidth="1"/>
    <col min="5947" max="5947" width="8.83203125" customWidth="1"/>
    <col min="5948" max="5948" width="9.58203125" bestFit="1" customWidth="1"/>
    <col min="5949" max="5949" width="9.33203125" customWidth="1"/>
    <col min="5951" max="5951" width="7.25" customWidth="1"/>
    <col min="5952" max="5952" width="0" hidden="1" customWidth="1"/>
    <col min="5954" max="5954" width="9.33203125" customWidth="1"/>
    <col min="5955" max="5955" width="10.33203125" customWidth="1"/>
    <col min="5956" max="5956" width="15.83203125" customWidth="1"/>
    <col min="5958" max="5958" width="6.75" customWidth="1"/>
    <col min="6145" max="6145" width="0.33203125" customWidth="1"/>
    <col min="6146" max="6146" width="17.25" customWidth="1"/>
    <col min="6147" max="6147" width="13.33203125" customWidth="1"/>
    <col min="6148" max="6148" width="9.58203125" customWidth="1"/>
    <col min="6149" max="6149" width="13.33203125" customWidth="1"/>
    <col min="6150" max="6150" width="8.58203125" customWidth="1"/>
    <col min="6151" max="6151" width="15.58203125" customWidth="1"/>
    <col min="6152" max="6152" width="16.08203125" customWidth="1"/>
    <col min="6153" max="6153" width="12.5" customWidth="1"/>
    <col min="6154" max="6154" width="12.08203125" customWidth="1"/>
    <col min="6155" max="6155" width="18.08203125" customWidth="1"/>
    <col min="6156" max="6156" width="16.25" customWidth="1"/>
    <col min="6157" max="6158" width="12.83203125" customWidth="1"/>
    <col min="6159" max="6159" width="11.33203125" customWidth="1"/>
    <col min="6160" max="6160" width="11.75" customWidth="1"/>
    <col min="6161" max="6161" width="10.83203125" customWidth="1"/>
    <col min="6162" max="6162" width="16" customWidth="1"/>
    <col min="6163" max="6163" width="14.08203125" customWidth="1"/>
    <col min="6164" max="6164" width="11.75" customWidth="1"/>
    <col min="6165" max="6165" width="13.33203125" customWidth="1"/>
    <col min="6166" max="6166" width="21.58203125" customWidth="1"/>
    <col min="6167" max="6167" width="16.08203125" customWidth="1"/>
    <col min="6168" max="6169" width="14" customWidth="1"/>
    <col min="6170" max="6170" width="9.58203125" customWidth="1"/>
    <col min="6171" max="6171" width="10.75" customWidth="1"/>
    <col min="6172" max="6172" width="9.58203125" customWidth="1"/>
    <col min="6173" max="6173" width="9.25" customWidth="1"/>
    <col min="6174" max="6174" width="9.33203125" customWidth="1"/>
    <col min="6175" max="6176" width="13.25" customWidth="1"/>
    <col min="6177" max="6177" width="8.25" bestFit="1" customWidth="1"/>
    <col min="6178" max="6178" width="10" customWidth="1"/>
    <col min="6180" max="6180" width="9.75" customWidth="1"/>
    <col min="6181" max="6181" width="9.33203125" customWidth="1"/>
    <col min="6182" max="6182" width="10.5" bestFit="1" customWidth="1"/>
    <col min="6189" max="6189" width="9.58203125" customWidth="1"/>
    <col min="6190" max="6190" width="14.75" customWidth="1"/>
    <col min="6191" max="6191" width="11.33203125" customWidth="1"/>
    <col min="6192" max="6192" width="9.83203125" customWidth="1"/>
    <col min="6193" max="6193" width="10.75" customWidth="1"/>
    <col min="6194" max="6194" width="10.08203125" bestFit="1" customWidth="1"/>
    <col min="6195" max="6195" width="12.5" customWidth="1"/>
    <col min="6196" max="6196" width="10.58203125" customWidth="1"/>
    <col min="6199" max="6199" width="15.75" customWidth="1"/>
    <col min="6200" max="6200" width="10" customWidth="1"/>
    <col min="6203" max="6203" width="8.83203125" customWidth="1"/>
    <col min="6204" max="6204" width="9.58203125" bestFit="1" customWidth="1"/>
    <col min="6205" max="6205" width="9.33203125" customWidth="1"/>
    <col min="6207" max="6207" width="7.25" customWidth="1"/>
    <col min="6208" max="6208" width="0" hidden="1" customWidth="1"/>
    <col min="6210" max="6210" width="9.33203125" customWidth="1"/>
    <col min="6211" max="6211" width="10.33203125" customWidth="1"/>
    <col min="6212" max="6212" width="15.83203125" customWidth="1"/>
    <col min="6214" max="6214" width="6.75" customWidth="1"/>
    <col min="6401" max="6401" width="0.33203125" customWidth="1"/>
    <col min="6402" max="6402" width="17.25" customWidth="1"/>
    <col min="6403" max="6403" width="13.33203125" customWidth="1"/>
    <col min="6404" max="6404" width="9.58203125" customWidth="1"/>
    <col min="6405" max="6405" width="13.33203125" customWidth="1"/>
    <col min="6406" max="6406" width="8.58203125" customWidth="1"/>
    <col min="6407" max="6407" width="15.58203125" customWidth="1"/>
    <col min="6408" max="6408" width="16.08203125" customWidth="1"/>
    <col min="6409" max="6409" width="12.5" customWidth="1"/>
    <col min="6410" max="6410" width="12.08203125" customWidth="1"/>
    <col min="6411" max="6411" width="18.08203125" customWidth="1"/>
    <col min="6412" max="6412" width="16.25" customWidth="1"/>
    <col min="6413" max="6414" width="12.83203125" customWidth="1"/>
    <col min="6415" max="6415" width="11.33203125" customWidth="1"/>
    <col min="6416" max="6416" width="11.75" customWidth="1"/>
    <col min="6417" max="6417" width="10.83203125" customWidth="1"/>
    <col min="6418" max="6418" width="16" customWidth="1"/>
    <col min="6419" max="6419" width="14.08203125" customWidth="1"/>
    <col min="6420" max="6420" width="11.75" customWidth="1"/>
    <col min="6421" max="6421" width="13.33203125" customWidth="1"/>
    <col min="6422" max="6422" width="21.58203125" customWidth="1"/>
    <col min="6423" max="6423" width="16.08203125" customWidth="1"/>
    <col min="6424" max="6425" width="14" customWidth="1"/>
    <col min="6426" max="6426" width="9.58203125" customWidth="1"/>
    <col min="6427" max="6427" width="10.75" customWidth="1"/>
    <col min="6428" max="6428" width="9.58203125" customWidth="1"/>
    <col min="6429" max="6429" width="9.25" customWidth="1"/>
    <col min="6430" max="6430" width="9.33203125" customWidth="1"/>
    <col min="6431" max="6432" width="13.25" customWidth="1"/>
    <col min="6433" max="6433" width="8.25" bestFit="1" customWidth="1"/>
    <col min="6434" max="6434" width="10" customWidth="1"/>
    <col min="6436" max="6436" width="9.75" customWidth="1"/>
    <col min="6437" max="6437" width="9.33203125" customWidth="1"/>
    <col min="6438" max="6438" width="10.5" bestFit="1" customWidth="1"/>
    <col min="6445" max="6445" width="9.58203125" customWidth="1"/>
    <col min="6446" max="6446" width="14.75" customWidth="1"/>
    <col min="6447" max="6447" width="11.33203125" customWidth="1"/>
    <col min="6448" max="6448" width="9.83203125" customWidth="1"/>
    <col min="6449" max="6449" width="10.75" customWidth="1"/>
    <col min="6450" max="6450" width="10.08203125" bestFit="1" customWidth="1"/>
    <col min="6451" max="6451" width="12.5" customWidth="1"/>
    <col min="6452" max="6452" width="10.58203125" customWidth="1"/>
    <col min="6455" max="6455" width="15.75" customWidth="1"/>
    <col min="6456" max="6456" width="10" customWidth="1"/>
    <col min="6459" max="6459" width="8.83203125" customWidth="1"/>
    <col min="6460" max="6460" width="9.58203125" bestFit="1" customWidth="1"/>
    <col min="6461" max="6461" width="9.33203125" customWidth="1"/>
    <col min="6463" max="6463" width="7.25" customWidth="1"/>
    <col min="6464" max="6464" width="0" hidden="1" customWidth="1"/>
    <col min="6466" max="6466" width="9.33203125" customWidth="1"/>
    <col min="6467" max="6467" width="10.33203125" customWidth="1"/>
    <col min="6468" max="6468" width="15.83203125" customWidth="1"/>
    <col min="6470" max="6470" width="6.75" customWidth="1"/>
    <col min="6657" max="6657" width="0.33203125" customWidth="1"/>
    <col min="6658" max="6658" width="17.25" customWidth="1"/>
    <col min="6659" max="6659" width="13.33203125" customWidth="1"/>
    <col min="6660" max="6660" width="9.58203125" customWidth="1"/>
    <col min="6661" max="6661" width="13.33203125" customWidth="1"/>
    <col min="6662" max="6662" width="8.58203125" customWidth="1"/>
    <col min="6663" max="6663" width="15.58203125" customWidth="1"/>
    <col min="6664" max="6664" width="16.08203125" customWidth="1"/>
    <col min="6665" max="6665" width="12.5" customWidth="1"/>
    <col min="6666" max="6666" width="12.08203125" customWidth="1"/>
    <col min="6667" max="6667" width="18.08203125" customWidth="1"/>
    <col min="6668" max="6668" width="16.25" customWidth="1"/>
    <col min="6669" max="6670" width="12.83203125" customWidth="1"/>
    <col min="6671" max="6671" width="11.33203125" customWidth="1"/>
    <col min="6672" max="6672" width="11.75" customWidth="1"/>
    <col min="6673" max="6673" width="10.83203125" customWidth="1"/>
    <col min="6674" max="6674" width="16" customWidth="1"/>
    <col min="6675" max="6675" width="14.08203125" customWidth="1"/>
    <col min="6676" max="6676" width="11.75" customWidth="1"/>
    <col min="6677" max="6677" width="13.33203125" customWidth="1"/>
    <col min="6678" max="6678" width="21.58203125" customWidth="1"/>
    <col min="6679" max="6679" width="16.08203125" customWidth="1"/>
    <col min="6680" max="6681" width="14" customWidth="1"/>
    <col min="6682" max="6682" width="9.58203125" customWidth="1"/>
    <col min="6683" max="6683" width="10.75" customWidth="1"/>
    <col min="6684" max="6684" width="9.58203125" customWidth="1"/>
    <col min="6685" max="6685" width="9.25" customWidth="1"/>
    <col min="6686" max="6686" width="9.33203125" customWidth="1"/>
    <col min="6687" max="6688" width="13.25" customWidth="1"/>
    <col min="6689" max="6689" width="8.25" bestFit="1" customWidth="1"/>
    <col min="6690" max="6690" width="10" customWidth="1"/>
    <col min="6692" max="6692" width="9.75" customWidth="1"/>
    <col min="6693" max="6693" width="9.33203125" customWidth="1"/>
    <col min="6694" max="6694" width="10.5" bestFit="1" customWidth="1"/>
    <col min="6701" max="6701" width="9.58203125" customWidth="1"/>
    <col min="6702" max="6702" width="14.75" customWidth="1"/>
    <col min="6703" max="6703" width="11.33203125" customWidth="1"/>
    <col min="6704" max="6704" width="9.83203125" customWidth="1"/>
    <col min="6705" max="6705" width="10.75" customWidth="1"/>
    <col min="6706" max="6706" width="10.08203125" bestFit="1" customWidth="1"/>
    <col min="6707" max="6707" width="12.5" customWidth="1"/>
    <col min="6708" max="6708" width="10.58203125" customWidth="1"/>
    <col min="6711" max="6711" width="15.75" customWidth="1"/>
    <col min="6712" max="6712" width="10" customWidth="1"/>
    <col min="6715" max="6715" width="8.83203125" customWidth="1"/>
    <col min="6716" max="6716" width="9.58203125" bestFit="1" customWidth="1"/>
    <col min="6717" max="6717" width="9.33203125" customWidth="1"/>
    <col min="6719" max="6719" width="7.25" customWidth="1"/>
    <col min="6720" max="6720" width="0" hidden="1" customWidth="1"/>
    <col min="6722" max="6722" width="9.33203125" customWidth="1"/>
    <col min="6723" max="6723" width="10.33203125" customWidth="1"/>
    <col min="6724" max="6724" width="15.83203125" customWidth="1"/>
    <col min="6726" max="6726" width="6.75" customWidth="1"/>
    <col min="6913" max="6913" width="0.33203125" customWidth="1"/>
    <col min="6914" max="6914" width="17.25" customWidth="1"/>
    <col min="6915" max="6915" width="13.33203125" customWidth="1"/>
    <col min="6916" max="6916" width="9.58203125" customWidth="1"/>
    <col min="6917" max="6917" width="13.33203125" customWidth="1"/>
    <col min="6918" max="6918" width="8.58203125" customWidth="1"/>
    <col min="6919" max="6919" width="15.58203125" customWidth="1"/>
    <col min="6920" max="6920" width="16.08203125" customWidth="1"/>
    <col min="6921" max="6921" width="12.5" customWidth="1"/>
    <col min="6922" max="6922" width="12.08203125" customWidth="1"/>
    <col min="6923" max="6923" width="18.08203125" customWidth="1"/>
    <col min="6924" max="6924" width="16.25" customWidth="1"/>
    <col min="6925" max="6926" width="12.83203125" customWidth="1"/>
    <col min="6927" max="6927" width="11.33203125" customWidth="1"/>
    <col min="6928" max="6928" width="11.75" customWidth="1"/>
    <col min="6929" max="6929" width="10.83203125" customWidth="1"/>
    <col min="6930" max="6930" width="16" customWidth="1"/>
    <col min="6931" max="6931" width="14.08203125" customWidth="1"/>
    <col min="6932" max="6932" width="11.75" customWidth="1"/>
    <col min="6933" max="6933" width="13.33203125" customWidth="1"/>
    <col min="6934" max="6934" width="21.58203125" customWidth="1"/>
    <col min="6935" max="6935" width="16.08203125" customWidth="1"/>
    <col min="6936" max="6937" width="14" customWidth="1"/>
    <col min="6938" max="6938" width="9.58203125" customWidth="1"/>
    <col min="6939" max="6939" width="10.75" customWidth="1"/>
    <col min="6940" max="6940" width="9.58203125" customWidth="1"/>
    <col min="6941" max="6941" width="9.25" customWidth="1"/>
    <col min="6942" max="6942" width="9.33203125" customWidth="1"/>
    <col min="6943" max="6944" width="13.25" customWidth="1"/>
    <col min="6945" max="6945" width="8.25" bestFit="1" customWidth="1"/>
    <col min="6946" max="6946" width="10" customWidth="1"/>
    <col min="6948" max="6948" width="9.75" customWidth="1"/>
    <col min="6949" max="6949" width="9.33203125" customWidth="1"/>
    <col min="6950" max="6950" width="10.5" bestFit="1" customWidth="1"/>
    <col min="6957" max="6957" width="9.58203125" customWidth="1"/>
    <col min="6958" max="6958" width="14.75" customWidth="1"/>
    <col min="6959" max="6959" width="11.33203125" customWidth="1"/>
    <col min="6960" max="6960" width="9.83203125" customWidth="1"/>
    <col min="6961" max="6961" width="10.75" customWidth="1"/>
    <col min="6962" max="6962" width="10.08203125" bestFit="1" customWidth="1"/>
    <col min="6963" max="6963" width="12.5" customWidth="1"/>
    <col min="6964" max="6964" width="10.58203125" customWidth="1"/>
    <col min="6967" max="6967" width="15.75" customWidth="1"/>
    <col min="6968" max="6968" width="10" customWidth="1"/>
    <col min="6971" max="6971" width="8.83203125" customWidth="1"/>
    <col min="6972" max="6972" width="9.58203125" bestFit="1" customWidth="1"/>
    <col min="6973" max="6973" width="9.33203125" customWidth="1"/>
    <col min="6975" max="6975" width="7.25" customWidth="1"/>
    <col min="6976" max="6976" width="0" hidden="1" customWidth="1"/>
    <col min="6978" max="6978" width="9.33203125" customWidth="1"/>
    <col min="6979" max="6979" width="10.33203125" customWidth="1"/>
    <col min="6980" max="6980" width="15.83203125" customWidth="1"/>
    <col min="6982" max="6982" width="6.75" customWidth="1"/>
    <col min="7169" max="7169" width="0.33203125" customWidth="1"/>
    <col min="7170" max="7170" width="17.25" customWidth="1"/>
    <col min="7171" max="7171" width="13.33203125" customWidth="1"/>
    <col min="7172" max="7172" width="9.58203125" customWidth="1"/>
    <col min="7173" max="7173" width="13.33203125" customWidth="1"/>
    <col min="7174" max="7174" width="8.58203125" customWidth="1"/>
    <col min="7175" max="7175" width="15.58203125" customWidth="1"/>
    <col min="7176" max="7176" width="16.08203125" customWidth="1"/>
    <col min="7177" max="7177" width="12.5" customWidth="1"/>
    <col min="7178" max="7178" width="12.08203125" customWidth="1"/>
    <col min="7179" max="7179" width="18.08203125" customWidth="1"/>
    <col min="7180" max="7180" width="16.25" customWidth="1"/>
    <col min="7181" max="7182" width="12.83203125" customWidth="1"/>
    <col min="7183" max="7183" width="11.33203125" customWidth="1"/>
    <col min="7184" max="7184" width="11.75" customWidth="1"/>
    <col min="7185" max="7185" width="10.83203125" customWidth="1"/>
    <col min="7186" max="7186" width="16" customWidth="1"/>
    <col min="7187" max="7187" width="14.08203125" customWidth="1"/>
    <col min="7188" max="7188" width="11.75" customWidth="1"/>
    <col min="7189" max="7189" width="13.33203125" customWidth="1"/>
    <col min="7190" max="7190" width="21.58203125" customWidth="1"/>
    <col min="7191" max="7191" width="16.08203125" customWidth="1"/>
    <col min="7192" max="7193" width="14" customWidth="1"/>
    <col min="7194" max="7194" width="9.58203125" customWidth="1"/>
    <col min="7195" max="7195" width="10.75" customWidth="1"/>
    <col min="7196" max="7196" width="9.58203125" customWidth="1"/>
    <col min="7197" max="7197" width="9.25" customWidth="1"/>
    <col min="7198" max="7198" width="9.33203125" customWidth="1"/>
    <col min="7199" max="7200" width="13.25" customWidth="1"/>
    <col min="7201" max="7201" width="8.25" bestFit="1" customWidth="1"/>
    <col min="7202" max="7202" width="10" customWidth="1"/>
    <col min="7204" max="7204" width="9.75" customWidth="1"/>
    <col min="7205" max="7205" width="9.33203125" customWidth="1"/>
    <col min="7206" max="7206" width="10.5" bestFit="1" customWidth="1"/>
    <col min="7213" max="7213" width="9.58203125" customWidth="1"/>
    <col min="7214" max="7214" width="14.75" customWidth="1"/>
    <col min="7215" max="7215" width="11.33203125" customWidth="1"/>
    <col min="7216" max="7216" width="9.83203125" customWidth="1"/>
    <col min="7217" max="7217" width="10.75" customWidth="1"/>
    <col min="7218" max="7218" width="10.08203125" bestFit="1" customWidth="1"/>
    <col min="7219" max="7219" width="12.5" customWidth="1"/>
    <col min="7220" max="7220" width="10.58203125" customWidth="1"/>
    <col min="7223" max="7223" width="15.75" customWidth="1"/>
    <col min="7224" max="7224" width="10" customWidth="1"/>
    <col min="7227" max="7227" width="8.83203125" customWidth="1"/>
    <col min="7228" max="7228" width="9.58203125" bestFit="1" customWidth="1"/>
    <col min="7229" max="7229" width="9.33203125" customWidth="1"/>
    <col min="7231" max="7231" width="7.25" customWidth="1"/>
    <col min="7232" max="7232" width="0" hidden="1" customWidth="1"/>
    <col min="7234" max="7234" width="9.33203125" customWidth="1"/>
    <col min="7235" max="7235" width="10.33203125" customWidth="1"/>
    <col min="7236" max="7236" width="15.83203125" customWidth="1"/>
    <col min="7238" max="7238" width="6.75" customWidth="1"/>
    <col min="7425" max="7425" width="0.33203125" customWidth="1"/>
    <col min="7426" max="7426" width="17.25" customWidth="1"/>
    <col min="7427" max="7427" width="13.33203125" customWidth="1"/>
    <col min="7428" max="7428" width="9.58203125" customWidth="1"/>
    <col min="7429" max="7429" width="13.33203125" customWidth="1"/>
    <col min="7430" max="7430" width="8.58203125" customWidth="1"/>
    <col min="7431" max="7431" width="15.58203125" customWidth="1"/>
    <col min="7432" max="7432" width="16.08203125" customWidth="1"/>
    <col min="7433" max="7433" width="12.5" customWidth="1"/>
    <col min="7434" max="7434" width="12.08203125" customWidth="1"/>
    <col min="7435" max="7435" width="18.08203125" customWidth="1"/>
    <col min="7436" max="7436" width="16.25" customWidth="1"/>
    <col min="7437" max="7438" width="12.83203125" customWidth="1"/>
    <col min="7439" max="7439" width="11.33203125" customWidth="1"/>
    <col min="7440" max="7440" width="11.75" customWidth="1"/>
    <col min="7441" max="7441" width="10.83203125" customWidth="1"/>
    <col min="7442" max="7442" width="16" customWidth="1"/>
    <col min="7443" max="7443" width="14.08203125" customWidth="1"/>
    <col min="7444" max="7444" width="11.75" customWidth="1"/>
    <col min="7445" max="7445" width="13.33203125" customWidth="1"/>
    <col min="7446" max="7446" width="21.58203125" customWidth="1"/>
    <col min="7447" max="7447" width="16.08203125" customWidth="1"/>
    <col min="7448" max="7449" width="14" customWidth="1"/>
    <col min="7450" max="7450" width="9.58203125" customWidth="1"/>
    <col min="7451" max="7451" width="10.75" customWidth="1"/>
    <col min="7452" max="7452" width="9.58203125" customWidth="1"/>
    <col min="7453" max="7453" width="9.25" customWidth="1"/>
    <col min="7454" max="7454" width="9.33203125" customWidth="1"/>
    <col min="7455" max="7456" width="13.25" customWidth="1"/>
    <col min="7457" max="7457" width="8.25" bestFit="1" customWidth="1"/>
    <col min="7458" max="7458" width="10" customWidth="1"/>
    <col min="7460" max="7460" width="9.75" customWidth="1"/>
    <col min="7461" max="7461" width="9.33203125" customWidth="1"/>
    <col min="7462" max="7462" width="10.5" bestFit="1" customWidth="1"/>
    <col min="7469" max="7469" width="9.58203125" customWidth="1"/>
    <col min="7470" max="7470" width="14.75" customWidth="1"/>
    <col min="7471" max="7471" width="11.33203125" customWidth="1"/>
    <col min="7472" max="7472" width="9.83203125" customWidth="1"/>
    <col min="7473" max="7473" width="10.75" customWidth="1"/>
    <col min="7474" max="7474" width="10.08203125" bestFit="1" customWidth="1"/>
    <col min="7475" max="7475" width="12.5" customWidth="1"/>
    <col min="7476" max="7476" width="10.58203125" customWidth="1"/>
    <col min="7479" max="7479" width="15.75" customWidth="1"/>
    <col min="7480" max="7480" width="10" customWidth="1"/>
    <col min="7483" max="7483" width="8.83203125" customWidth="1"/>
    <col min="7484" max="7484" width="9.58203125" bestFit="1" customWidth="1"/>
    <col min="7485" max="7485" width="9.33203125" customWidth="1"/>
    <col min="7487" max="7487" width="7.25" customWidth="1"/>
    <col min="7488" max="7488" width="0" hidden="1" customWidth="1"/>
    <col min="7490" max="7490" width="9.33203125" customWidth="1"/>
    <col min="7491" max="7491" width="10.33203125" customWidth="1"/>
    <col min="7492" max="7492" width="15.83203125" customWidth="1"/>
    <col min="7494" max="7494" width="6.75" customWidth="1"/>
    <col min="7681" max="7681" width="0.33203125" customWidth="1"/>
    <col min="7682" max="7682" width="17.25" customWidth="1"/>
    <col min="7683" max="7683" width="13.33203125" customWidth="1"/>
    <col min="7684" max="7684" width="9.58203125" customWidth="1"/>
    <col min="7685" max="7685" width="13.33203125" customWidth="1"/>
    <col min="7686" max="7686" width="8.58203125" customWidth="1"/>
    <col min="7687" max="7687" width="15.58203125" customWidth="1"/>
    <col min="7688" max="7688" width="16.08203125" customWidth="1"/>
    <col min="7689" max="7689" width="12.5" customWidth="1"/>
    <col min="7690" max="7690" width="12.08203125" customWidth="1"/>
    <col min="7691" max="7691" width="18.08203125" customWidth="1"/>
    <col min="7692" max="7692" width="16.25" customWidth="1"/>
    <col min="7693" max="7694" width="12.83203125" customWidth="1"/>
    <col min="7695" max="7695" width="11.33203125" customWidth="1"/>
    <col min="7696" max="7696" width="11.75" customWidth="1"/>
    <col min="7697" max="7697" width="10.83203125" customWidth="1"/>
    <col min="7698" max="7698" width="16" customWidth="1"/>
    <col min="7699" max="7699" width="14.08203125" customWidth="1"/>
    <col min="7700" max="7700" width="11.75" customWidth="1"/>
    <col min="7701" max="7701" width="13.33203125" customWidth="1"/>
    <col min="7702" max="7702" width="21.58203125" customWidth="1"/>
    <col min="7703" max="7703" width="16.08203125" customWidth="1"/>
    <col min="7704" max="7705" width="14" customWidth="1"/>
    <col min="7706" max="7706" width="9.58203125" customWidth="1"/>
    <col min="7707" max="7707" width="10.75" customWidth="1"/>
    <col min="7708" max="7708" width="9.58203125" customWidth="1"/>
    <col min="7709" max="7709" width="9.25" customWidth="1"/>
    <col min="7710" max="7710" width="9.33203125" customWidth="1"/>
    <col min="7711" max="7712" width="13.25" customWidth="1"/>
    <col min="7713" max="7713" width="8.25" bestFit="1" customWidth="1"/>
    <col min="7714" max="7714" width="10" customWidth="1"/>
    <col min="7716" max="7716" width="9.75" customWidth="1"/>
    <col min="7717" max="7717" width="9.33203125" customWidth="1"/>
    <col min="7718" max="7718" width="10.5" bestFit="1" customWidth="1"/>
    <col min="7725" max="7725" width="9.58203125" customWidth="1"/>
    <col min="7726" max="7726" width="14.75" customWidth="1"/>
    <col min="7727" max="7727" width="11.33203125" customWidth="1"/>
    <col min="7728" max="7728" width="9.83203125" customWidth="1"/>
    <col min="7729" max="7729" width="10.75" customWidth="1"/>
    <col min="7730" max="7730" width="10.08203125" bestFit="1" customWidth="1"/>
    <col min="7731" max="7731" width="12.5" customWidth="1"/>
    <col min="7732" max="7732" width="10.58203125" customWidth="1"/>
    <col min="7735" max="7735" width="15.75" customWidth="1"/>
    <col min="7736" max="7736" width="10" customWidth="1"/>
    <col min="7739" max="7739" width="8.83203125" customWidth="1"/>
    <col min="7740" max="7740" width="9.58203125" bestFit="1" customWidth="1"/>
    <col min="7741" max="7741" width="9.33203125" customWidth="1"/>
    <col min="7743" max="7743" width="7.25" customWidth="1"/>
    <col min="7744" max="7744" width="0" hidden="1" customWidth="1"/>
    <col min="7746" max="7746" width="9.33203125" customWidth="1"/>
    <col min="7747" max="7747" width="10.33203125" customWidth="1"/>
    <col min="7748" max="7748" width="15.83203125" customWidth="1"/>
    <col min="7750" max="7750" width="6.75" customWidth="1"/>
    <col min="7937" max="7937" width="0.33203125" customWidth="1"/>
    <col min="7938" max="7938" width="17.25" customWidth="1"/>
    <col min="7939" max="7939" width="13.33203125" customWidth="1"/>
    <col min="7940" max="7940" width="9.58203125" customWidth="1"/>
    <col min="7941" max="7941" width="13.33203125" customWidth="1"/>
    <col min="7942" max="7942" width="8.58203125" customWidth="1"/>
    <col min="7943" max="7943" width="15.58203125" customWidth="1"/>
    <col min="7944" max="7944" width="16.08203125" customWidth="1"/>
    <col min="7945" max="7945" width="12.5" customWidth="1"/>
    <col min="7946" max="7946" width="12.08203125" customWidth="1"/>
    <col min="7947" max="7947" width="18.08203125" customWidth="1"/>
    <col min="7948" max="7948" width="16.25" customWidth="1"/>
    <col min="7949" max="7950" width="12.83203125" customWidth="1"/>
    <col min="7951" max="7951" width="11.33203125" customWidth="1"/>
    <col min="7952" max="7952" width="11.75" customWidth="1"/>
    <col min="7953" max="7953" width="10.83203125" customWidth="1"/>
    <col min="7954" max="7954" width="16" customWidth="1"/>
    <col min="7955" max="7955" width="14.08203125" customWidth="1"/>
    <col min="7956" max="7956" width="11.75" customWidth="1"/>
    <col min="7957" max="7957" width="13.33203125" customWidth="1"/>
    <col min="7958" max="7958" width="21.58203125" customWidth="1"/>
    <col min="7959" max="7959" width="16.08203125" customWidth="1"/>
    <col min="7960" max="7961" width="14" customWidth="1"/>
    <col min="7962" max="7962" width="9.58203125" customWidth="1"/>
    <col min="7963" max="7963" width="10.75" customWidth="1"/>
    <col min="7964" max="7964" width="9.58203125" customWidth="1"/>
    <col min="7965" max="7965" width="9.25" customWidth="1"/>
    <col min="7966" max="7966" width="9.33203125" customWidth="1"/>
    <col min="7967" max="7968" width="13.25" customWidth="1"/>
    <col min="7969" max="7969" width="8.25" bestFit="1" customWidth="1"/>
    <col min="7970" max="7970" width="10" customWidth="1"/>
    <col min="7972" max="7972" width="9.75" customWidth="1"/>
    <col min="7973" max="7973" width="9.33203125" customWidth="1"/>
    <col min="7974" max="7974" width="10.5" bestFit="1" customWidth="1"/>
    <col min="7981" max="7981" width="9.58203125" customWidth="1"/>
    <col min="7982" max="7982" width="14.75" customWidth="1"/>
    <col min="7983" max="7983" width="11.33203125" customWidth="1"/>
    <col min="7984" max="7984" width="9.83203125" customWidth="1"/>
    <col min="7985" max="7985" width="10.75" customWidth="1"/>
    <col min="7986" max="7986" width="10.08203125" bestFit="1" customWidth="1"/>
    <col min="7987" max="7987" width="12.5" customWidth="1"/>
    <col min="7988" max="7988" width="10.58203125" customWidth="1"/>
    <col min="7991" max="7991" width="15.75" customWidth="1"/>
    <col min="7992" max="7992" width="10" customWidth="1"/>
    <col min="7995" max="7995" width="8.83203125" customWidth="1"/>
    <col min="7996" max="7996" width="9.58203125" bestFit="1" customWidth="1"/>
    <col min="7997" max="7997" width="9.33203125" customWidth="1"/>
    <col min="7999" max="7999" width="7.25" customWidth="1"/>
    <col min="8000" max="8000" width="0" hidden="1" customWidth="1"/>
    <col min="8002" max="8002" width="9.33203125" customWidth="1"/>
    <col min="8003" max="8003" width="10.33203125" customWidth="1"/>
    <col min="8004" max="8004" width="15.83203125" customWidth="1"/>
    <col min="8006" max="8006" width="6.75" customWidth="1"/>
    <col min="8193" max="8193" width="0.33203125" customWidth="1"/>
    <col min="8194" max="8194" width="17.25" customWidth="1"/>
    <col min="8195" max="8195" width="13.33203125" customWidth="1"/>
    <col min="8196" max="8196" width="9.58203125" customWidth="1"/>
    <col min="8197" max="8197" width="13.33203125" customWidth="1"/>
    <col min="8198" max="8198" width="8.58203125" customWidth="1"/>
    <col min="8199" max="8199" width="15.58203125" customWidth="1"/>
    <col min="8200" max="8200" width="16.08203125" customWidth="1"/>
    <col min="8201" max="8201" width="12.5" customWidth="1"/>
    <col min="8202" max="8202" width="12.08203125" customWidth="1"/>
    <col min="8203" max="8203" width="18.08203125" customWidth="1"/>
    <col min="8204" max="8204" width="16.25" customWidth="1"/>
    <col min="8205" max="8206" width="12.83203125" customWidth="1"/>
    <col min="8207" max="8207" width="11.33203125" customWidth="1"/>
    <col min="8208" max="8208" width="11.75" customWidth="1"/>
    <col min="8209" max="8209" width="10.83203125" customWidth="1"/>
    <col min="8210" max="8210" width="16" customWidth="1"/>
    <col min="8211" max="8211" width="14.08203125" customWidth="1"/>
    <col min="8212" max="8212" width="11.75" customWidth="1"/>
    <col min="8213" max="8213" width="13.33203125" customWidth="1"/>
    <col min="8214" max="8214" width="21.58203125" customWidth="1"/>
    <col min="8215" max="8215" width="16.08203125" customWidth="1"/>
    <col min="8216" max="8217" width="14" customWidth="1"/>
    <col min="8218" max="8218" width="9.58203125" customWidth="1"/>
    <col min="8219" max="8219" width="10.75" customWidth="1"/>
    <col min="8220" max="8220" width="9.58203125" customWidth="1"/>
    <col min="8221" max="8221" width="9.25" customWidth="1"/>
    <col min="8222" max="8222" width="9.33203125" customWidth="1"/>
    <col min="8223" max="8224" width="13.25" customWidth="1"/>
    <col min="8225" max="8225" width="8.25" bestFit="1" customWidth="1"/>
    <col min="8226" max="8226" width="10" customWidth="1"/>
    <col min="8228" max="8228" width="9.75" customWidth="1"/>
    <col min="8229" max="8229" width="9.33203125" customWidth="1"/>
    <col min="8230" max="8230" width="10.5" bestFit="1" customWidth="1"/>
    <col min="8237" max="8237" width="9.58203125" customWidth="1"/>
    <col min="8238" max="8238" width="14.75" customWidth="1"/>
    <col min="8239" max="8239" width="11.33203125" customWidth="1"/>
    <col min="8240" max="8240" width="9.83203125" customWidth="1"/>
    <col min="8241" max="8241" width="10.75" customWidth="1"/>
    <col min="8242" max="8242" width="10.08203125" bestFit="1" customWidth="1"/>
    <col min="8243" max="8243" width="12.5" customWidth="1"/>
    <col min="8244" max="8244" width="10.58203125" customWidth="1"/>
    <col min="8247" max="8247" width="15.75" customWidth="1"/>
    <col min="8248" max="8248" width="10" customWidth="1"/>
    <col min="8251" max="8251" width="8.83203125" customWidth="1"/>
    <col min="8252" max="8252" width="9.58203125" bestFit="1" customWidth="1"/>
    <col min="8253" max="8253" width="9.33203125" customWidth="1"/>
    <col min="8255" max="8255" width="7.25" customWidth="1"/>
    <col min="8256" max="8256" width="0" hidden="1" customWidth="1"/>
    <col min="8258" max="8258" width="9.33203125" customWidth="1"/>
    <col min="8259" max="8259" width="10.33203125" customWidth="1"/>
    <col min="8260" max="8260" width="15.83203125" customWidth="1"/>
    <col min="8262" max="8262" width="6.75" customWidth="1"/>
    <col min="8449" max="8449" width="0.33203125" customWidth="1"/>
    <col min="8450" max="8450" width="17.25" customWidth="1"/>
    <col min="8451" max="8451" width="13.33203125" customWidth="1"/>
    <col min="8452" max="8452" width="9.58203125" customWidth="1"/>
    <col min="8453" max="8453" width="13.33203125" customWidth="1"/>
    <col min="8454" max="8454" width="8.58203125" customWidth="1"/>
    <col min="8455" max="8455" width="15.58203125" customWidth="1"/>
    <col min="8456" max="8456" width="16.08203125" customWidth="1"/>
    <col min="8457" max="8457" width="12.5" customWidth="1"/>
    <col min="8458" max="8458" width="12.08203125" customWidth="1"/>
    <col min="8459" max="8459" width="18.08203125" customWidth="1"/>
    <col min="8460" max="8460" width="16.25" customWidth="1"/>
    <col min="8461" max="8462" width="12.83203125" customWidth="1"/>
    <col min="8463" max="8463" width="11.33203125" customWidth="1"/>
    <col min="8464" max="8464" width="11.75" customWidth="1"/>
    <col min="8465" max="8465" width="10.83203125" customWidth="1"/>
    <col min="8466" max="8466" width="16" customWidth="1"/>
    <col min="8467" max="8467" width="14.08203125" customWidth="1"/>
    <col min="8468" max="8468" width="11.75" customWidth="1"/>
    <col min="8469" max="8469" width="13.33203125" customWidth="1"/>
    <col min="8470" max="8470" width="21.58203125" customWidth="1"/>
    <col min="8471" max="8471" width="16.08203125" customWidth="1"/>
    <col min="8472" max="8473" width="14" customWidth="1"/>
    <col min="8474" max="8474" width="9.58203125" customWidth="1"/>
    <col min="8475" max="8475" width="10.75" customWidth="1"/>
    <col min="8476" max="8476" width="9.58203125" customWidth="1"/>
    <col min="8477" max="8477" width="9.25" customWidth="1"/>
    <col min="8478" max="8478" width="9.33203125" customWidth="1"/>
    <col min="8479" max="8480" width="13.25" customWidth="1"/>
    <col min="8481" max="8481" width="8.25" bestFit="1" customWidth="1"/>
    <col min="8482" max="8482" width="10" customWidth="1"/>
    <col min="8484" max="8484" width="9.75" customWidth="1"/>
    <col min="8485" max="8485" width="9.33203125" customWidth="1"/>
    <col min="8486" max="8486" width="10.5" bestFit="1" customWidth="1"/>
    <col min="8493" max="8493" width="9.58203125" customWidth="1"/>
    <col min="8494" max="8494" width="14.75" customWidth="1"/>
    <col min="8495" max="8495" width="11.33203125" customWidth="1"/>
    <col min="8496" max="8496" width="9.83203125" customWidth="1"/>
    <col min="8497" max="8497" width="10.75" customWidth="1"/>
    <col min="8498" max="8498" width="10.08203125" bestFit="1" customWidth="1"/>
    <col min="8499" max="8499" width="12.5" customWidth="1"/>
    <col min="8500" max="8500" width="10.58203125" customWidth="1"/>
    <col min="8503" max="8503" width="15.75" customWidth="1"/>
    <col min="8504" max="8504" width="10" customWidth="1"/>
    <col min="8507" max="8507" width="8.83203125" customWidth="1"/>
    <col min="8508" max="8508" width="9.58203125" bestFit="1" customWidth="1"/>
    <col min="8509" max="8509" width="9.33203125" customWidth="1"/>
    <col min="8511" max="8511" width="7.25" customWidth="1"/>
    <col min="8512" max="8512" width="0" hidden="1" customWidth="1"/>
    <col min="8514" max="8514" width="9.33203125" customWidth="1"/>
    <col min="8515" max="8515" width="10.33203125" customWidth="1"/>
    <col min="8516" max="8516" width="15.83203125" customWidth="1"/>
    <col min="8518" max="8518" width="6.75" customWidth="1"/>
    <col min="8705" max="8705" width="0.33203125" customWidth="1"/>
    <col min="8706" max="8706" width="17.25" customWidth="1"/>
    <col min="8707" max="8707" width="13.33203125" customWidth="1"/>
    <col min="8708" max="8708" width="9.58203125" customWidth="1"/>
    <col min="8709" max="8709" width="13.33203125" customWidth="1"/>
    <col min="8710" max="8710" width="8.58203125" customWidth="1"/>
    <col min="8711" max="8711" width="15.58203125" customWidth="1"/>
    <col min="8712" max="8712" width="16.08203125" customWidth="1"/>
    <col min="8713" max="8713" width="12.5" customWidth="1"/>
    <col min="8714" max="8714" width="12.08203125" customWidth="1"/>
    <col min="8715" max="8715" width="18.08203125" customWidth="1"/>
    <col min="8716" max="8716" width="16.25" customWidth="1"/>
    <col min="8717" max="8718" width="12.83203125" customWidth="1"/>
    <col min="8719" max="8719" width="11.33203125" customWidth="1"/>
    <col min="8720" max="8720" width="11.75" customWidth="1"/>
    <col min="8721" max="8721" width="10.83203125" customWidth="1"/>
    <col min="8722" max="8722" width="16" customWidth="1"/>
    <col min="8723" max="8723" width="14.08203125" customWidth="1"/>
    <col min="8724" max="8724" width="11.75" customWidth="1"/>
    <col min="8725" max="8725" width="13.33203125" customWidth="1"/>
    <col min="8726" max="8726" width="21.58203125" customWidth="1"/>
    <col min="8727" max="8727" width="16.08203125" customWidth="1"/>
    <col min="8728" max="8729" width="14" customWidth="1"/>
    <col min="8730" max="8730" width="9.58203125" customWidth="1"/>
    <col min="8731" max="8731" width="10.75" customWidth="1"/>
    <col min="8732" max="8732" width="9.58203125" customWidth="1"/>
    <col min="8733" max="8733" width="9.25" customWidth="1"/>
    <col min="8734" max="8734" width="9.33203125" customWidth="1"/>
    <col min="8735" max="8736" width="13.25" customWidth="1"/>
    <col min="8737" max="8737" width="8.25" bestFit="1" customWidth="1"/>
    <col min="8738" max="8738" width="10" customWidth="1"/>
    <col min="8740" max="8740" width="9.75" customWidth="1"/>
    <col min="8741" max="8741" width="9.33203125" customWidth="1"/>
    <col min="8742" max="8742" width="10.5" bestFit="1" customWidth="1"/>
    <col min="8749" max="8749" width="9.58203125" customWidth="1"/>
    <col min="8750" max="8750" width="14.75" customWidth="1"/>
    <col min="8751" max="8751" width="11.33203125" customWidth="1"/>
    <col min="8752" max="8752" width="9.83203125" customWidth="1"/>
    <col min="8753" max="8753" width="10.75" customWidth="1"/>
    <col min="8754" max="8754" width="10.08203125" bestFit="1" customWidth="1"/>
    <col min="8755" max="8755" width="12.5" customWidth="1"/>
    <col min="8756" max="8756" width="10.58203125" customWidth="1"/>
    <col min="8759" max="8759" width="15.75" customWidth="1"/>
    <col min="8760" max="8760" width="10" customWidth="1"/>
    <col min="8763" max="8763" width="8.83203125" customWidth="1"/>
    <col min="8764" max="8764" width="9.58203125" bestFit="1" customWidth="1"/>
    <col min="8765" max="8765" width="9.33203125" customWidth="1"/>
    <col min="8767" max="8767" width="7.25" customWidth="1"/>
    <col min="8768" max="8768" width="0" hidden="1" customWidth="1"/>
    <col min="8770" max="8770" width="9.33203125" customWidth="1"/>
    <col min="8771" max="8771" width="10.33203125" customWidth="1"/>
    <col min="8772" max="8772" width="15.83203125" customWidth="1"/>
    <col min="8774" max="8774" width="6.75" customWidth="1"/>
    <col min="8961" max="8961" width="0.33203125" customWidth="1"/>
    <col min="8962" max="8962" width="17.25" customWidth="1"/>
    <col min="8963" max="8963" width="13.33203125" customWidth="1"/>
    <col min="8964" max="8964" width="9.58203125" customWidth="1"/>
    <col min="8965" max="8965" width="13.33203125" customWidth="1"/>
    <col min="8966" max="8966" width="8.58203125" customWidth="1"/>
    <col min="8967" max="8967" width="15.58203125" customWidth="1"/>
    <col min="8968" max="8968" width="16.08203125" customWidth="1"/>
    <col min="8969" max="8969" width="12.5" customWidth="1"/>
    <col min="8970" max="8970" width="12.08203125" customWidth="1"/>
    <col min="8971" max="8971" width="18.08203125" customWidth="1"/>
    <col min="8972" max="8972" width="16.25" customWidth="1"/>
    <col min="8973" max="8974" width="12.83203125" customWidth="1"/>
    <col min="8975" max="8975" width="11.33203125" customWidth="1"/>
    <col min="8976" max="8976" width="11.75" customWidth="1"/>
    <col min="8977" max="8977" width="10.83203125" customWidth="1"/>
    <col min="8978" max="8978" width="16" customWidth="1"/>
    <col min="8979" max="8979" width="14.08203125" customWidth="1"/>
    <col min="8980" max="8980" width="11.75" customWidth="1"/>
    <col min="8981" max="8981" width="13.33203125" customWidth="1"/>
    <col min="8982" max="8982" width="21.58203125" customWidth="1"/>
    <col min="8983" max="8983" width="16.08203125" customWidth="1"/>
    <col min="8984" max="8985" width="14" customWidth="1"/>
    <col min="8986" max="8986" width="9.58203125" customWidth="1"/>
    <col min="8987" max="8987" width="10.75" customWidth="1"/>
    <col min="8988" max="8988" width="9.58203125" customWidth="1"/>
    <col min="8989" max="8989" width="9.25" customWidth="1"/>
    <col min="8990" max="8990" width="9.33203125" customWidth="1"/>
    <col min="8991" max="8992" width="13.25" customWidth="1"/>
    <col min="8993" max="8993" width="8.25" bestFit="1" customWidth="1"/>
    <col min="8994" max="8994" width="10" customWidth="1"/>
    <col min="8996" max="8996" width="9.75" customWidth="1"/>
    <col min="8997" max="8997" width="9.33203125" customWidth="1"/>
    <col min="8998" max="8998" width="10.5" bestFit="1" customWidth="1"/>
    <col min="9005" max="9005" width="9.58203125" customWidth="1"/>
    <col min="9006" max="9006" width="14.75" customWidth="1"/>
    <col min="9007" max="9007" width="11.33203125" customWidth="1"/>
    <col min="9008" max="9008" width="9.83203125" customWidth="1"/>
    <col min="9009" max="9009" width="10.75" customWidth="1"/>
    <col min="9010" max="9010" width="10.08203125" bestFit="1" customWidth="1"/>
    <col min="9011" max="9011" width="12.5" customWidth="1"/>
    <col min="9012" max="9012" width="10.58203125" customWidth="1"/>
    <col min="9015" max="9015" width="15.75" customWidth="1"/>
    <col min="9016" max="9016" width="10" customWidth="1"/>
    <col min="9019" max="9019" width="8.83203125" customWidth="1"/>
    <col min="9020" max="9020" width="9.58203125" bestFit="1" customWidth="1"/>
    <col min="9021" max="9021" width="9.33203125" customWidth="1"/>
    <col min="9023" max="9023" width="7.25" customWidth="1"/>
    <col min="9024" max="9024" width="0" hidden="1" customWidth="1"/>
    <col min="9026" max="9026" width="9.33203125" customWidth="1"/>
    <col min="9027" max="9027" width="10.33203125" customWidth="1"/>
    <col min="9028" max="9028" width="15.83203125" customWidth="1"/>
    <col min="9030" max="9030" width="6.75" customWidth="1"/>
    <col min="9217" max="9217" width="0.33203125" customWidth="1"/>
    <col min="9218" max="9218" width="17.25" customWidth="1"/>
    <col min="9219" max="9219" width="13.33203125" customWidth="1"/>
    <col min="9220" max="9220" width="9.58203125" customWidth="1"/>
    <col min="9221" max="9221" width="13.33203125" customWidth="1"/>
    <col min="9222" max="9222" width="8.58203125" customWidth="1"/>
    <col min="9223" max="9223" width="15.58203125" customWidth="1"/>
    <col min="9224" max="9224" width="16.08203125" customWidth="1"/>
    <col min="9225" max="9225" width="12.5" customWidth="1"/>
    <col min="9226" max="9226" width="12.08203125" customWidth="1"/>
    <col min="9227" max="9227" width="18.08203125" customWidth="1"/>
    <col min="9228" max="9228" width="16.25" customWidth="1"/>
    <col min="9229" max="9230" width="12.83203125" customWidth="1"/>
    <col min="9231" max="9231" width="11.33203125" customWidth="1"/>
    <col min="9232" max="9232" width="11.75" customWidth="1"/>
    <col min="9233" max="9233" width="10.83203125" customWidth="1"/>
    <col min="9234" max="9234" width="16" customWidth="1"/>
    <col min="9235" max="9235" width="14.08203125" customWidth="1"/>
    <col min="9236" max="9236" width="11.75" customWidth="1"/>
    <col min="9237" max="9237" width="13.33203125" customWidth="1"/>
    <col min="9238" max="9238" width="21.58203125" customWidth="1"/>
    <col min="9239" max="9239" width="16.08203125" customWidth="1"/>
    <col min="9240" max="9241" width="14" customWidth="1"/>
    <col min="9242" max="9242" width="9.58203125" customWidth="1"/>
    <col min="9243" max="9243" width="10.75" customWidth="1"/>
    <col min="9244" max="9244" width="9.58203125" customWidth="1"/>
    <col min="9245" max="9245" width="9.25" customWidth="1"/>
    <col min="9246" max="9246" width="9.33203125" customWidth="1"/>
    <col min="9247" max="9248" width="13.25" customWidth="1"/>
    <col min="9249" max="9249" width="8.25" bestFit="1" customWidth="1"/>
    <col min="9250" max="9250" width="10" customWidth="1"/>
    <col min="9252" max="9252" width="9.75" customWidth="1"/>
    <col min="9253" max="9253" width="9.33203125" customWidth="1"/>
    <col min="9254" max="9254" width="10.5" bestFit="1" customWidth="1"/>
    <col min="9261" max="9261" width="9.58203125" customWidth="1"/>
    <col min="9262" max="9262" width="14.75" customWidth="1"/>
    <col min="9263" max="9263" width="11.33203125" customWidth="1"/>
    <col min="9264" max="9264" width="9.83203125" customWidth="1"/>
    <col min="9265" max="9265" width="10.75" customWidth="1"/>
    <col min="9266" max="9266" width="10.08203125" bestFit="1" customWidth="1"/>
    <col min="9267" max="9267" width="12.5" customWidth="1"/>
    <col min="9268" max="9268" width="10.58203125" customWidth="1"/>
    <col min="9271" max="9271" width="15.75" customWidth="1"/>
    <col min="9272" max="9272" width="10" customWidth="1"/>
    <col min="9275" max="9275" width="8.83203125" customWidth="1"/>
    <col min="9276" max="9276" width="9.58203125" bestFit="1" customWidth="1"/>
    <col min="9277" max="9277" width="9.33203125" customWidth="1"/>
    <col min="9279" max="9279" width="7.25" customWidth="1"/>
    <col min="9280" max="9280" width="0" hidden="1" customWidth="1"/>
    <col min="9282" max="9282" width="9.33203125" customWidth="1"/>
    <col min="9283" max="9283" width="10.33203125" customWidth="1"/>
    <col min="9284" max="9284" width="15.83203125" customWidth="1"/>
    <col min="9286" max="9286" width="6.75" customWidth="1"/>
    <col min="9473" max="9473" width="0.33203125" customWidth="1"/>
    <col min="9474" max="9474" width="17.25" customWidth="1"/>
    <col min="9475" max="9475" width="13.33203125" customWidth="1"/>
    <col min="9476" max="9476" width="9.58203125" customWidth="1"/>
    <col min="9477" max="9477" width="13.33203125" customWidth="1"/>
    <col min="9478" max="9478" width="8.58203125" customWidth="1"/>
    <col min="9479" max="9479" width="15.58203125" customWidth="1"/>
    <col min="9480" max="9480" width="16.08203125" customWidth="1"/>
    <col min="9481" max="9481" width="12.5" customWidth="1"/>
    <col min="9482" max="9482" width="12.08203125" customWidth="1"/>
    <col min="9483" max="9483" width="18.08203125" customWidth="1"/>
    <col min="9484" max="9484" width="16.25" customWidth="1"/>
    <col min="9485" max="9486" width="12.83203125" customWidth="1"/>
    <col min="9487" max="9487" width="11.33203125" customWidth="1"/>
    <col min="9488" max="9488" width="11.75" customWidth="1"/>
    <col min="9489" max="9489" width="10.83203125" customWidth="1"/>
    <col min="9490" max="9490" width="16" customWidth="1"/>
    <col min="9491" max="9491" width="14.08203125" customWidth="1"/>
    <col min="9492" max="9492" width="11.75" customWidth="1"/>
    <col min="9493" max="9493" width="13.33203125" customWidth="1"/>
    <col min="9494" max="9494" width="21.58203125" customWidth="1"/>
    <col min="9495" max="9495" width="16.08203125" customWidth="1"/>
    <col min="9496" max="9497" width="14" customWidth="1"/>
    <col min="9498" max="9498" width="9.58203125" customWidth="1"/>
    <col min="9499" max="9499" width="10.75" customWidth="1"/>
    <col min="9500" max="9500" width="9.58203125" customWidth="1"/>
    <col min="9501" max="9501" width="9.25" customWidth="1"/>
    <col min="9502" max="9502" width="9.33203125" customWidth="1"/>
    <col min="9503" max="9504" width="13.25" customWidth="1"/>
    <col min="9505" max="9505" width="8.25" bestFit="1" customWidth="1"/>
    <col min="9506" max="9506" width="10" customWidth="1"/>
    <col min="9508" max="9508" width="9.75" customWidth="1"/>
    <col min="9509" max="9509" width="9.33203125" customWidth="1"/>
    <col min="9510" max="9510" width="10.5" bestFit="1" customWidth="1"/>
    <col min="9517" max="9517" width="9.58203125" customWidth="1"/>
    <col min="9518" max="9518" width="14.75" customWidth="1"/>
    <col min="9519" max="9519" width="11.33203125" customWidth="1"/>
    <col min="9520" max="9520" width="9.83203125" customWidth="1"/>
    <col min="9521" max="9521" width="10.75" customWidth="1"/>
    <col min="9522" max="9522" width="10.08203125" bestFit="1" customWidth="1"/>
    <col min="9523" max="9523" width="12.5" customWidth="1"/>
    <col min="9524" max="9524" width="10.58203125" customWidth="1"/>
    <col min="9527" max="9527" width="15.75" customWidth="1"/>
    <col min="9528" max="9528" width="10" customWidth="1"/>
    <col min="9531" max="9531" width="8.83203125" customWidth="1"/>
    <col min="9532" max="9532" width="9.58203125" bestFit="1" customWidth="1"/>
    <col min="9533" max="9533" width="9.33203125" customWidth="1"/>
    <col min="9535" max="9535" width="7.25" customWidth="1"/>
    <col min="9536" max="9536" width="0" hidden="1" customWidth="1"/>
    <col min="9538" max="9538" width="9.33203125" customWidth="1"/>
    <col min="9539" max="9539" width="10.33203125" customWidth="1"/>
    <col min="9540" max="9540" width="15.83203125" customWidth="1"/>
    <col min="9542" max="9542" width="6.75" customWidth="1"/>
    <col min="9729" max="9729" width="0.33203125" customWidth="1"/>
    <col min="9730" max="9730" width="17.25" customWidth="1"/>
    <col min="9731" max="9731" width="13.33203125" customWidth="1"/>
    <col min="9732" max="9732" width="9.58203125" customWidth="1"/>
    <col min="9733" max="9733" width="13.33203125" customWidth="1"/>
    <col min="9734" max="9734" width="8.58203125" customWidth="1"/>
    <col min="9735" max="9735" width="15.58203125" customWidth="1"/>
    <col min="9736" max="9736" width="16.08203125" customWidth="1"/>
    <col min="9737" max="9737" width="12.5" customWidth="1"/>
    <col min="9738" max="9738" width="12.08203125" customWidth="1"/>
    <col min="9739" max="9739" width="18.08203125" customWidth="1"/>
    <col min="9740" max="9740" width="16.25" customWidth="1"/>
    <col min="9741" max="9742" width="12.83203125" customWidth="1"/>
    <col min="9743" max="9743" width="11.33203125" customWidth="1"/>
    <col min="9744" max="9744" width="11.75" customWidth="1"/>
    <col min="9745" max="9745" width="10.83203125" customWidth="1"/>
    <col min="9746" max="9746" width="16" customWidth="1"/>
    <col min="9747" max="9747" width="14.08203125" customWidth="1"/>
    <col min="9748" max="9748" width="11.75" customWidth="1"/>
    <col min="9749" max="9749" width="13.33203125" customWidth="1"/>
    <col min="9750" max="9750" width="21.58203125" customWidth="1"/>
    <col min="9751" max="9751" width="16.08203125" customWidth="1"/>
    <col min="9752" max="9753" width="14" customWidth="1"/>
    <col min="9754" max="9754" width="9.58203125" customWidth="1"/>
    <col min="9755" max="9755" width="10.75" customWidth="1"/>
    <col min="9756" max="9756" width="9.58203125" customWidth="1"/>
    <col min="9757" max="9757" width="9.25" customWidth="1"/>
    <col min="9758" max="9758" width="9.33203125" customWidth="1"/>
    <col min="9759" max="9760" width="13.25" customWidth="1"/>
    <col min="9761" max="9761" width="8.25" bestFit="1" customWidth="1"/>
    <col min="9762" max="9762" width="10" customWidth="1"/>
    <col min="9764" max="9764" width="9.75" customWidth="1"/>
    <col min="9765" max="9765" width="9.33203125" customWidth="1"/>
    <col min="9766" max="9766" width="10.5" bestFit="1" customWidth="1"/>
    <col min="9773" max="9773" width="9.58203125" customWidth="1"/>
    <col min="9774" max="9774" width="14.75" customWidth="1"/>
    <col min="9775" max="9775" width="11.33203125" customWidth="1"/>
    <col min="9776" max="9776" width="9.83203125" customWidth="1"/>
    <col min="9777" max="9777" width="10.75" customWidth="1"/>
    <col min="9778" max="9778" width="10.08203125" bestFit="1" customWidth="1"/>
    <col min="9779" max="9779" width="12.5" customWidth="1"/>
    <col min="9780" max="9780" width="10.58203125" customWidth="1"/>
    <col min="9783" max="9783" width="15.75" customWidth="1"/>
    <col min="9784" max="9784" width="10" customWidth="1"/>
    <col min="9787" max="9787" width="8.83203125" customWidth="1"/>
    <col min="9788" max="9788" width="9.58203125" bestFit="1" customWidth="1"/>
    <col min="9789" max="9789" width="9.33203125" customWidth="1"/>
    <col min="9791" max="9791" width="7.25" customWidth="1"/>
    <col min="9792" max="9792" width="0" hidden="1" customWidth="1"/>
    <col min="9794" max="9794" width="9.33203125" customWidth="1"/>
    <col min="9795" max="9795" width="10.33203125" customWidth="1"/>
    <col min="9796" max="9796" width="15.83203125" customWidth="1"/>
    <col min="9798" max="9798" width="6.75" customWidth="1"/>
    <col min="9985" max="9985" width="0.33203125" customWidth="1"/>
    <col min="9986" max="9986" width="17.25" customWidth="1"/>
    <col min="9987" max="9987" width="13.33203125" customWidth="1"/>
    <col min="9988" max="9988" width="9.58203125" customWidth="1"/>
    <col min="9989" max="9989" width="13.33203125" customWidth="1"/>
    <col min="9990" max="9990" width="8.58203125" customWidth="1"/>
    <col min="9991" max="9991" width="15.58203125" customWidth="1"/>
    <col min="9992" max="9992" width="16.08203125" customWidth="1"/>
    <col min="9993" max="9993" width="12.5" customWidth="1"/>
    <col min="9994" max="9994" width="12.08203125" customWidth="1"/>
    <col min="9995" max="9995" width="18.08203125" customWidth="1"/>
    <col min="9996" max="9996" width="16.25" customWidth="1"/>
    <col min="9997" max="9998" width="12.83203125" customWidth="1"/>
    <col min="9999" max="9999" width="11.33203125" customWidth="1"/>
    <col min="10000" max="10000" width="11.75" customWidth="1"/>
    <col min="10001" max="10001" width="10.83203125" customWidth="1"/>
    <col min="10002" max="10002" width="16" customWidth="1"/>
    <col min="10003" max="10003" width="14.08203125" customWidth="1"/>
    <col min="10004" max="10004" width="11.75" customWidth="1"/>
    <col min="10005" max="10005" width="13.33203125" customWidth="1"/>
    <col min="10006" max="10006" width="21.58203125" customWidth="1"/>
    <col min="10007" max="10007" width="16.08203125" customWidth="1"/>
    <col min="10008" max="10009" width="14" customWidth="1"/>
    <col min="10010" max="10010" width="9.58203125" customWidth="1"/>
    <col min="10011" max="10011" width="10.75" customWidth="1"/>
    <col min="10012" max="10012" width="9.58203125" customWidth="1"/>
    <col min="10013" max="10013" width="9.25" customWidth="1"/>
    <col min="10014" max="10014" width="9.33203125" customWidth="1"/>
    <col min="10015" max="10016" width="13.25" customWidth="1"/>
    <col min="10017" max="10017" width="8.25" bestFit="1" customWidth="1"/>
    <col min="10018" max="10018" width="10" customWidth="1"/>
    <col min="10020" max="10020" width="9.75" customWidth="1"/>
    <col min="10021" max="10021" width="9.33203125" customWidth="1"/>
    <col min="10022" max="10022" width="10.5" bestFit="1" customWidth="1"/>
    <col min="10029" max="10029" width="9.58203125" customWidth="1"/>
    <col min="10030" max="10030" width="14.75" customWidth="1"/>
    <col min="10031" max="10031" width="11.33203125" customWidth="1"/>
    <col min="10032" max="10032" width="9.83203125" customWidth="1"/>
    <col min="10033" max="10033" width="10.75" customWidth="1"/>
    <col min="10034" max="10034" width="10.08203125" bestFit="1" customWidth="1"/>
    <col min="10035" max="10035" width="12.5" customWidth="1"/>
    <col min="10036" max="10036" width="10.58203125" customWidth="1"/>
    <col min="10039" max="10039" width="15.75" customWidth="1"/>
    <col min="10040" max="10040" width="10" customWidth="1"/>
    <col min="10043" max="10043" width="8.83203125" customWidth="1"/>
    <col min="10044" max="10044" width="9.58203125" bestFit="1" customWidth="1"/>
    <col min="10045" max="10045" width="9.33203125" customWidth="1"/>
    <col min="10047" max="10047" width="7.25" customWidth="1"/>
    <col min="10048" max="10048" width="0" hidden="1" customWidth="1"/>
    <col min="10050" max="10050" width="9.33203125" customWidth="1"/>
    <col min="10051" max="10051" width="10.33203125" customWidth="1"/>
    <col min="10052" max="10052" width="15.83203125" customWidth="1"/>
    <col min="10054" max="10054" width="6.75" customWidth="1"/>
    <col min="10241" max="10241" width="0.33203125" customWidth="1"/>
    <col min="10242" max="10242" width="17.25" customWidth="1"/>
    <col min="10243" max="10243" width="13.33203125" customWidth="1"/>
    <col min="10244" max="10244" width="9.58203125" customWidth="1"/>
    <col min="10245" max="10245" width="13.33203125" customWidth="1"/>
    <col min="10246" max="10246" width="8.58203125" customWidth="1"/>
    <col min="10247" max="10247" width="15.58203125" customWidth="1"/>
    <col min="10248" max="10248" width="16.08203125" customWidth="1"/>
    <col min="10249" max="10249" width="12.5" customWidth="1"/>
    <col min="10250" max="10250" width="12.08203125" customWidth="1"/>
    <col min="10251" max="10251" width="18.08203125" customWidth="1"/>
    <col min="10252" max="10252" width="16.25" customWidth="1"/>
    <col min="10253" max="10254" width="12.83203125" customWidth="1"/>
    <col min="10255" max="10255" width="11.33203125" customWidth="1"/>
    <col min="10256" max="10256" width="11.75" customWidth="1"/>
    <col min="10257" max="10257" width="10.83203125" customWidth="1"/>
    <col min="10258" max="10258" width="16" customWidth="1"/>
    <col min="10259" max="10259" width="14.08203125" customWidth="1"/>
    <col min="10260" max="10260" width="11.75" customWidth="1"/>
    <col min="10261" max="10261" width="13.33203125" customWidth="1"/>
    <col min="10262" max="10262" width="21.58203125" customWidth="1"/>
    <col min="10263" max="10263" width="16.08203125" customWidth="1"/>
    <col min="10264" max="10265" width="14" customWidth="1"/>
    <col min="10266" max="10266" width="9.58203125" customWidth="1"/>
    <col min="10267" max="10267" width="10.75" customWidth="1"/>
    <col min="10268" max="10268" width="9.58203125" customWidth="1"/>
    <col min="10269" max="10269" width="9.25" customWidth="1"/>
    <col min="10270" max="10270" width="9.33203125" customWidth="1"/>
    <col min="10271" max="10272" width="13.25" customWidth="1"/>
    <col min="10273" max="10273" width="8.25" bestFit="1" customWidth="1"/>
    <col min="10274" max="10274" width="10" customWidth="1"/>
    <col min="10276" max="10276" width="9.75" customWidth="1"/>
    <col min="10277" max="10277" width="9.33203125" customWidth="1"/>
    <col min="10278" max="10278" width="10.5" bestFit="1" customWidth="1"/>
    <col min="10285" max="10285" width="9.58203125" customWidth="1"/>
    <col min="10286" max="10286" width="14.75" customWidth="1"/>
    <col min="10287" max="10287" width="11.33203125" customWidth="1"/>
    <col min="10288" max="10288" width="9.83203125" customWidth="1"/>
    <col min="10289" max="10289" width="10.75" customWidth="1"/>
    <col min="10290" max="10290" width="10.08203125" bestFit="1" customWidth="1"/>
    <col min="10291" max="10291" width="12.5" customWidth="1"/>
    <col min="10292" max="10292" width="10.58203125" customWidth="1"/>
    <col min="10295" max="10295" width="15.75" customWidth="1"/>
    <col min="10296" max="10296" width="10" customWidth="1"/>
    <col min="10299" max="10299" width="8.83203125" customWidth="1"/>
    <col min="10300" max="10300" width="9.58203125" bestFit="1" customWidth="1"/>
    <col min="10301" max="10301" width="9.33203125" customWidth="1"/>
    <col min="10303" max="10303" width="7.25" customWidth="1"/>
    <col min="10304" max="10304" width="0" hidden="1" customWidth="1"/>
    <col min="10306" max="10306" width="9.33203125" customWidth="1"/>
    <col min="10307" max="10307" width="10.33203125" customWidth="1"/>
    <col min="10308" max="10308" width="15.83203125" customWidth="1"/>
    <col min="10310" max="10310" width="6.75" customWidth="1"/>
    <col min="10497" max="10497" width="0.33203125" customWidth="1"/>
    <col min="10498" max="10498" width="17.25" customWidth="1"/>
    <col min="10499" max="10499" width="13.33203125" customWidth="1"/>
    <col min="10500" max="10500" width="9.58203125" customWidth="1"/>
    <col min="10501" max="10501" width="13.33203125" customWidth="1"/>
    <col min="10502" max="10502" width="8.58203125" customWidth="1"/>
    <col min="10503" max="10503" width="15.58203125" customWidth="1"/>
    <col min="10504" max="10504" width="16.08203125" customWidth="1"/>
    <col min="10505" max="10505" width="12.5" customWidth="1"/>
    <col min="10506" max="10506" width="12.08203125" customWidth="1"/>
    <col min="10507" max="10507" width="18.08203125" customWidth="1"/>
    <col min="10508" max="10508" width="16.25" customWidth="1"/>
    <col min="10509" max="10510" width="12.83203125" customWidth="1"/>
    <col min="10511" max="10511" width="11.33203125" customWidth="1"/>
    <col min="10512" max="10512" width="11.75" customWidth="1"/>
    <col min="10513" max="10513" width="10.83203125" customWidth="1"/>
    <col min="10514" max="10514" width="16" customWidth="1"/>
    <col min="10515" max="10515" width="14.08203125" customWidth="1"/>
    <col min="10516" max="10516" width="11.75" customWidth="1"/>
    <col min="10517" max="10517" width="13.33203125" customWidth="1"/>
    <col min="10518" max="10518" width="21.58203125" customWidth="1"/>
    <col min="10519" max="10519" width="16.08203125" customWidth="1"/>
    <col min="10520" max="10521" width="14" customWidth="1"/>
    <col min="10522" max="10522" width="9.58203125" customWidth="1"/>
    <col min="10523" max="10523" width="10.75" customWidth="1"/>
    <col min="10524" max="10524" width="9.58203125" customWidth="1"/>
    <col min="10525" max="10525" width="9.25" customWidth="1"/>
    <col min="10526" max="10526" width="9.33203125" customWidth="1"/>
    <col min="10527" max="10528" width="13.25" customWidth="1"/>
    <col min="10529" max="10529" width="8.25" bestFit="1" customWidth="1"/>
    <col min="10530" max="10530" width="10" customWidth="1"/>
    <col min="10532" max="10532" width="9.75" customWidth="1"/>
    <col min="10533" max="10533" width="9.33203125" customWidth="1"/>
    <col min="10534" max="10534" width="10.5" bestFit="1" customWidth="1"/>
    <col min="10541" max="10541" width="9.58203125" customWidth="1"/>
    <col min="10542" max="10542" width="14.75" customWidth="1"/>
    <col min="10543" max="10543" width="11.33203125" customWidth="1"/>
    <col min="10544" max="10544" width="9.83203125" customWidth="1"/>
    <col min="10545" max="10545" width="10.75" customWidth="1"/>
    <col min="10546" max="10546" width="10.08203125" bestFit="1" customWidth="1"/>
    <col min="10547" max="10547" width="12.5" customWidth="1"/>
    <col min="10548" max="10548" width="10.58203125" customWidth="1"/>
    <col min="10551" max="10551" width="15.75" customWidth="1"/>
    <col min="10552" max="10552" width="10" customWidth="1"/>
    <col min="10555" max="10555" width="8.83203125" customWidth="1"/>
    <col min="10556" max="10556" width="9.58203125" bestFit="1" customWidth="1"/>
    <col min="10557" max="10557" width="9.33203125" customWidth="1"/>
    <col min="10559" max="10559" width="7.25" customWidth="1"/>
    <col min="10560" max="10560" width="0" hidden="1" customWidth="1"/>
    <col min="10562" max="10562" width="9.33203125" customWidth="1"/>
    <col min="10563" max="10563" width="10.33203125" customWidth="1"/>
    <col min="10564" max="10564" width="15.83203125" customWidth="1"/>
    <col min="10566" max="10566" width="6.75" customWidth="1"/>
    <col min="10753" max="10753" width="0.33203125" customWidth="1"/>
    <col min="10754" max="10754" width="17.25" customWidth="1"/>
    <col min="10755" max="10755" width="13.33203125" customWidth="1"/>
    <col min="10756" max="10756" width="9.58203125" customWidth="1"/>
    <col min="10757" max="10757" width="13.33203125" customWidth="1"/>
    <col min="10758" max="10758" width="8.58203125" customWidth="1"/>
    <col min="10759" max="10759" width="15.58203125" customWidth="1"/>
    <col min="10760" max="10760" width="16.08203125" customWidth="1"/>
    <col min="10761" max="10761" width="12.5" customWidth="1"/>
    <col min="10762" max="10762" width="12.08203125" customWidth="1"/>
    <col min="10763" max="10763" width="18.08203125" customWidth="1"/>
    <col min="10764" max="10764" width="16.25" customWidth="1"/>
    <col min="10765" max="10766" width="12.83203125" customWidth="1"/>
    <col min="10767" max="10767" width="11.33203125" customWidth="1"/>
    <col min="10768" max="10768" width="11.75" customWidth="1"/>
    <col min="10769" max="10769" width="10.83203125" customWidth="1"/>
    <col min="10770" max="10770" width="16" customWidth="1"/>
    <col min="10771" max="10771" width="14.08203125" customWidth="1"/>
    <col min="10772" max="10772" width="11.75" customWidth="1"/>
    <col min="10773" max="10773" width="13.33203125" customWidth="1"/>
    <col min="10774" max="10774" width="21.58203125" customWidth="1"/>
    <col min="10775" max="10775" width="16.08203125" customWidth="1"/>
    <col min="10776" max="10777" width="14" customWidth="1"/>
    <col min="10778" max="10778" width="9.58203125" customWidth="1"/>
    <col min="10779" max="10779" width="10.75" customWidth="1"/>
    <col min="10780" max="10780" width="9.58203125" customWidth="1"/>
    <col min="10781" max="10781" width="9.25" customWidth="1"/>
    <col min="10782" max="10782" width="9.33203125" customWidth="1"/>
    <col min="10783" max="10784" width="13.25" customWidth="1"/>
    <col min="10785" max="10785" width="8.25" bestFit="1" customWidth="1"/>
    <col min="10786" max="10786" width="10" customWidth="1"/>
    <col min="10788" max="10788" width="9.75" customWidth="1"/>
    <col min="10789" max="10789" width="9.33203125" customWidth="1"/>
    <col min="10790" max="10790" width="10.5" bestFit="1" customWidth="1"/>
    <col min="10797" max="10797" width="9.58203125" customWidth="1"/>
    <col min="10798" max="10798" width="14.75" customWidth="1"/>
    <col min="10799" max="10799" width="11.33203125" customWidth="1"/>
    <col min="10800" max="10800" width="9.83203125" customWidth="1"/>
    <col min="10801" max="10801" width="10.75" customWidth="1"/>
    <col min="10802" max="10802" width="10.08203125" bestFit="1" customWidth="1"/>
    <col min="10803" max="10803" width="12.5" customWidth="1"/>
    <col min="10804" max="10804" width="10.58203125" customWidth="1"/>
    <col min="10807" max="10807" width="15.75" customWidth="1"/>
    <col min="10808" max="10808" width="10" customWidth="1"/>
    <col min="10811" max="10811" width="8.83203125" customWidth="1"/>
    <col min="10812" max="10812" width="9.58203125" bestFit="1" customWidth="1"/>
    <col min="10813" max="10813" width="9.33203125" customWidth="1"/>
    <col min="10815" max="10815" width="7.25" customWidth="1"/>
    <col min="10816" max="10816" width="0" hidden="1" customWidth="1"/>
    <col min="10818" max="10818" width="9.33203125" customWidth="1"/>
    <col min="10819" max="10819" width="10.33203125" customWidth="1"/>
    <col min="10820" max="10820" width="15.83203125" customWidth="1"/>
    <col min="10822" max="10822" width="6.75" customWidth="1"/>
    <col min="11009" max="11009" width="0.33203125" customWidth="1"/>
    <col min="11010" max="11010" width="17.25" customWidth="1"/>
    <col min="11011" max="11011" width="13.33203125" customWidth="1"/>
    <col min="11012" max="11012" width="9.58203125" customWidth="1"/>
    <col min="11013" max="11013" width="13.33203125" customWidth="1"/>
    <col min="11014" max="11014" width="8.58203125" customWidth="1"/>
    <col min="11015" max="11015" width="15.58203125" customWidth="1"/>
    <col min="11016" max="11016" width="16.08203125" customWidth="1"/>
    <col min="11017" max="11017" width="12.5" customWidth="1"/>
    <col min="11018" max="11018" width="12.08203125" customWidth="1"/>
    <col min="11019" max="11019" width="18.08203125" customWidth="1"/>
    <col min="11020" max="11020" width="16.25" customWidth="1"/>
    <col min="11021" max="11022" width="12.83203125" customWidth="1"/>
    <col min="11023" max="11023" width="11.33203125" customWidth="1"/>
    <col min="11024" max="11024" width="11.75" customWidth="1"/>
    <col min="11025" max="11025" width="10.83203125" customWidth="1"/>
    <col min="11026" max="11026" width="16" customWidth="1"/>
    <col min="11027" max="11027" width="14.08203125" customWidth="1"/>
    <col min="11028" max="11028" width="11.75" customWidth="1"/>
    <col min="11029" max="11029" width="13.33203125" customWidth="1"/>
    <col min="11030" max="11030" width="21.58203125" customWidth="1"/>
    <col min="11031" max="11031" width="16.08203125" customWidth="1"/>
    <col min="11032" max="11033" width="14" customWidth="1"/>
    <col min="11034" max="11034" width="9.58203125" customWidth="1"/>
    <col min="11035" max="11035" width="10.75" customWidth="1"/>
    <col min="11036" max="11036" width="9.58203125" customWidth="1"/>
    <col min="11037" max="11037" width="9.25" customWidth="1"/>
    <col min="11038" max="11038" width="9.33203125" customWidth="1"/>
    <col min="11039" max="11040" width="13.25" customWidth="1"/>
    <col min="11041" max="11041" width="8.25" bestFit="1" customWidth="1"/>
    <col min="11042" max="11042" width="10" customWidth="1"/>
    <col min="11044" max="11044" width="9.75" customWidth="1"/>
    <col min="11045" max="11045" width="9.33203125" customWidth="1"/>
    <col min="11046" max="11046" width="10.5" bestFit="1" customWidth="1"/>
    <col min="11053" max="11053" width="9.58203125" customWidth="1"/>
    <col min="11054" max="11054" width="14.75" customWidth="1"/>
    <col min="11055" max="11055" width="11.33203125" customWidth="1"/>
    <col min="11056" max="11056" width="9.83203125" customWidth="1"/>
    <col min="11057" max="11057" width="10.75" customWidth="1"/>
    <col min="11058" max="11058" width="10.08203125" bestFit="1" customWidth="1"/>
    <col min="11059" max="11059" width="12.5" customWidth="1"/>
    <col min="11060" max="11060" width="10.58203125" customWidth="1"/>
    <col min="11063" max="11063" width="15.75" customWidth="1"/>
    <col min="11064" max="11064" width="10" customWidth="1"/>
    <col min="11067" max="11067" width="8.83203125" customWidth="1"/>
    <col min="11068" max="11068" width="9.58203125" bestFit="1" customWidth="1"/>
    <col min="11069" max="11069" width="9.33203125" customWidth="1"/>
    <col min="11071" max="11071" width="7.25" customWidth="1"/>
    <col min="11072" max="11072" width="0" hidden="1" customWidth="1"/>
    <col min="11074" max="11074" width="9.33203125" customWidth="1"/>
    <col min="11075" max="11075" width="10.33203125" customWidth="1"/>
    <col min="11076" max="11076" width="15.83203125" customWidth="1"/>
    <col min="11078" max="11078" width="6.75" customWidth="1"/>
    <col min="11265" max="11265" width="0.33203125" customWidth="1"/>
    <col min="11266" max="11266" width="17.25" customWidth="1"/>
    <col min="11267" max="11267" width="13.33203125" customWidth="1"/>
    <col min="11268" max="11268" width="9.58203125" customWidth="1"/>
    <col min="11269" max="11269" width="13.33203125" customWidth="1"/>
    <col min="11270" max="11270" width="8.58203125" customWidth="1"/>
    <col min="11271" max="11271" width="15.58203125" customWidth="1"/>
    <col min="11272" max="11272" width="16.08203125" customWidth="1"/>
    <col min="11273" max="11273" width="12.5" customWidth="1"/>
    <col min="11274" max="11274" width="12.08203125" customWidth="1"/>
    <col min="11275" max="11275" width="18.08203125" customWidth="1"/>
    <col min="11276" max="11276" width="16.25" customWidth="1"/>
    <col min="11277" max="11278" width="12.83203125" customWidth="1"/>
    <col min="11279" max="11279" width="11.33203125" customWidth="1"/>
    <col min="11280" max="11280" width="11.75" customWidth="1"/>
    <col min="11281" max="11281" width="10.83203125" customWidth="1"/>
    <col min="11282" max="11282" width="16" customWidth="1"/>
    <col min="11283" max="11283" width="14.08203125" customWidth="1"/>
    <col min="11284" max="11284" width="11.75" customWidth="1"/>
    <col min="11285" max="11285" width="13.33203125" customWidth="1"/>
    <col min="11286" max="11286" width="21.58203125" customWidth="1"/>
    <col min="11287" max="11287" width="16.08203125" customWidth="1"/>
    <col min="11288" max="11289" width="14" customWidth="1"/>
    <col min="11290" max="11290" width="9.58203125" customWidth="1"/>
    <col min="11291" max="11291" width="10.75" customWidth="1"/>
    <col min="11292" max="11292" width="9.58203125" customWidth="1"/>
    <col min="11293" max="11293" width="9.25" customWidth="1"/>
    <col min="11294" max="11294" width="9.33203125" customWidth="1"/>
    <col min="11295" max="11296" width="13.25" customWidth="1"/>
    <col min="11297" max="11297" width="8.25" bestFit="1" customWidth="1"/>
    <col min="11298" max="11298" width="10" customWidth="1"/>
    <col min="11300" max="11300" width="9.75" customWidth="1"/>
    <col min="11301" max="11301" width="9.33203125" customWidth="1"/>
    <col min="11302" max="11302" width="10.5" bestFit="1" customWidth="1"/>
    <col min="11309" max="11309" width="9.58203125" customWidth="1"/>
    <col min="11310" max="11310" width="14.75" customWidth="1"/>
    <col min="11311" max="11311" width="11.33203125" customWidth="1"/>
    <col min="11312" max="11312" width="9.83203125" customWidth="1"/>
    <col min="11313" max="11313" width="10.75" customWidth="1"/>
    <col min="11314" max="11314" width="10.08203125" bestFit="1" customWidth="1"/>
    <col min="11315" max="11315" width="12.5" customWidth="1"/>
    <col min="11316" max="11316" width="10.58203125" customWidth="1"/>
    <col min="11319" max="11319" width="15.75" customWidth="1"/>
    <col min="11320" max="11320" width="10" customWidth="1"/>
    <col min="11323" max="11323" width="8.83203125" customWidth="1"/>
    <col min="11324" max="11324" width="9.58203125" bestFit="1" customWidth="1"/>
    <col min="11325" max="11325" width="9.33203125" customWidth="1"/>
    <col min="11327" max="11327" width="7.25" customWidth="1"/>
    <col min="11328" max="11328" width="0" hidden="1" customWidth="1"/>
    <col min="11330" max="11330" width="9.33203125" customWidth="1"/>
    <col min="11331" max="11331" width="10.33203125" customWidth="1"/>
    <col min="11332" max="11332" width="15.83203125" customWidth="1"/>
    <col min="11334" max="11334" width="6.75" customWidth="1"/>
    <col min="11521" max="11521" width="0.33203125" customWidth="1"/>
    <col min="11522" max="11522" width="17.25" customWidth="1"/>
    <col min="11523" max="11523" width="13.33203125" customWidth="1"/>
    <col min="11524" max="11524" width="9.58203125" customWidth="1"/>
    <col min="11525" max="11525" width="13.33203125" customWidth="1"/>
    <col min="11526" max="11526" width="8.58203125" customWidth="1"/>
    <col min="11527" max="11527" width="15.58203125" customWidth="1"/>
    <col min="11528" max="11528" width="16.08203125" customWidth="1"/>
    <col min="11529" max="11529" width="12.5" customWidth="1"/>
    <col min="11530" max="11530" width="12.08203125" customWidth="1"/>
    <col min="11531" max="11531" width="18.08203125" customWidth="1"/>
    <col min="11532" max="11532" width="16.25" customWidth="1"/>
    <col min="11533" max="11534" width="12.83203125" customWidth="1"/>
    <col min="11535" max="11535" width="11.33203125" customWidth="1"/>
    <col min="11536" max="11536" width="11.75" customWidth="1"/>
    <col min="11537" max="11537" width="10.83203125" customWidth="1"/>
    <col min="11538" max="11538" width="16" customWidth="1"/>
    <col min="11539" max="11539" width="14.08203125" customWidth="1"/>
    <col min="11540" max="11540" width="11.75" customWidth="1"/>
    <col min="11541" max="11541" width="13.33203125" customWidth="1"/>
    <col min="11542" max="11542" width="21.58203125" customWidth="1"/>
    <col min="11543" max="11543" width="16.08203125" customWidth="1"/>
    <col min="11544" max="11545" width="14" customWidth="1"/>
    <col min="11546" max="11546" width="9.58203125" customWidth="1"/>
    <col min="11547" max="11547" width="10.75" customWidth="1"/>
    <col min="11548" max="11548" width="9.58203125" customWidth="1"/>
    <col min="11549" max="11549" width="9.25" customWidth="1"/>
    <col min="11550" max="11550" width="9.33203125" customWidth="1"/>
    <col min="11551" max="11552" width="13.25" customWidth="1"/>
    <col min="11553" max="11553" width="8.25" bestFit="1" customWidth="1"/>
    <col min="11554" max="11554" width="10" customWidth="1"/>
    <col min="11556" max="11556" width="9.75" customWidth="1"/>
    <col min="11557" max="11557" width="9.33203125" customWidth="1"/>
    <col min="11558" max="11558" width="10.5" bestFit="1" customWidth="1"/>
    <col min="11565" max="11565" width="9.58203125" customWidth="1"/>
    <col min="11566" max="11566" width="14.75" customWidth="1"/>
    <col min="11567" max="11567" width="11.33203125" customWidth="1"/>
    <col min="11568" max="11568" width="9.83203125" customWidth="1"/>
    <col min="11569" max="11569" width="10.75" customWidth="1"/>
    <col min="11570" max="11570" width="10.08203125" bestFit="1" customWidth="1"/>
    <col min="11571" max="11571" width="12.5" customWidth="1"/>
    <col min="11572" max="11572" width="10.58203125" customWidth="1"/>
    <col min="11575" max="11575" width="15.75" customWidth="1"/>
    <col min="11576" max="11576" width="10" customWidth="1"/>
    <col min="11579" max="11579" width="8.83203125" customWidth="1"/>
    <col min="11580" max="11580" width="9.58203125" bestFit="1" customWidth="1"/>
    <col min="11581" max="11581" width="9.33203125" customWidth="1"/>
    <col min="11583" max="11583" width="7.25" customWidth="1"/>
    <col min="11584" max="11584" width="0" hidden="1" customWidth="1"/>
    <col min="11586" max="11586" width="9.33203125" customWidth="1"/>
    <col min="11587" max="11587" width="10.33203125" customWidth="1"/>
    <col min="11588" max="11588" width="15.83203125" customWidth="1"/>
    <col min="11590" max="11590" width="6.75" customWidth="1"/>
    <col min="11777" max="11777" width="0.33203125" customWidth="1"/>
    <col min="11778" max="11778" width="17.25" customWidth="1"/>
    <col min="11779" max="11779" width="13.33203125" customWidth="1"/>
    <col min="11780" max="11780" width="9.58203125" customWidth="1"/>
    <col min="11781" max="11781" width="13.33203125" customWidth="1"/>
    <col min="11782" max="11782" width="8.58203125" customWidth="1"/>
    <col min="11783" max="11783" width="15.58203125" customWidth="1"/>
    <col min="11784" max="11784" width="16.08203125" customWidth="1"/>
    <col min="11785" max="11785" width="12.5" customWidth="1"/>
    <col min="11786" max="11786" width="12.08203125" customWidth="1"/>
    <col min="11787" max="11787" width="18.08203125" customWidth="1"/>
    <col min="11788" max="11788" width="16.25" customWidth="1"/>
    <col min="11789" max="11790" width="12.83203125" customWidth="1"/>
    <col min="11791" max="11791" width="11.33203125" customWidth="1"/>
    <col min="11792" max="11792" width="11.75" customWidth="1"/>
    <col min="11793" max="11793" width="10.83203125" customWidth="1"/>
    <col min="11794" max="11794" width="16" customWidth="1"/>
    <col min="11795" max="11795" width="14.08203125" customWidth="1"/>
    <col min="11796" max="11796" width="11.75" customWidth="1"/>
    <col min="11797" max="11797" width="13.33203125" customWidth="1"/>
    <col min="11798" max="11798" width="21.58203125" customWidth="1"/>
    <col min="11799" max="11799" width="16.08203125" customWidth="1"/>
    <col min="11800" max="11801" width="14" customWidth="1"/>
    <col min="11802" max="11802" width="9.58203125" customWidth="1"/>
    <col min="11803" max="11803" width="10.75" customWidth="1"/>
    <col min="11804" max="11804" width="9.58203125" customWidth="1"/>
    <col min="11805" max="11805" width="9.25" customWidth="1"/>
    <col min="11806" max="11806" width="9.33203125" customWidth="1"/>
    <col min="11807" max="11808" width="13.25" customWidth="1"/>
    <col min="11809" max="11809" width="8.25" bestFit="1" customWidth="1"/>
    <col min="11810" max="11810" width="10" customWidth="1"/>
    <col min="11812" max="11812" width="9.75" customWidth="1"/>
    <col min="11813" max="11813" width="9.33203125" customWidth="1"/>
    <col min="11814" max="11814" width="10.5" bestFit="1" customWidth="1"/>
    <col min="11821" max="11821" width="9.58203125" customWidth="1"/>
    <col min="11822" max="11822" width="14.75" customWidth="1"/>
    <col min="11823" max="11823" width="11.33203125" customWidth="1"/>
    <col min="11824" max="11824" width="9.83203125" customWidth="1"/>
    <col min="11825" max="11825" width="10.75" customWidth="1"/>
    <col min="11826" max="11826" width="10.08203125" bestFit="1" customWidth="1"/>
    <col min="11827" max="11827" width="12.5" customWidth="1"/>
    <col min="11828" max="11828" width="10.58203125" customWidth="1"/>
    <col min="11831" max="11831" width="15.75" customWidth="1"/>
    <col min="11832" max="11832" width="10" customWidth="1"/>
    <col min="11835" max="11835" width="8.83203125" customWidth="1"/>
    <col min="11836" max="11836" width="9.58203125" bestFit="1" customWidth="1"/>
    <col min="11837" max="11837" width="9.33203125" customWidth="1"/>
    <col min="11839" max="11839" width="7.25" customWidth="1"/>
    <col min="11840" max="11840" width="0" hidden="1" customWidth="1"/>
    <col min="11842" max="11842" width="9.33203125" customWidth="1"/>
    <col min="11843" max="11843" width="10.33203125" customWidth="1"/>
    <col min="11844" max="11844" width="15.83203125" customWidth="1"/>
    <col min="11846" max="11846" width="6.75" customWidth="1"/>
    <col min="12033" max="12033" width="0.33203125" customWidth="1"/>
    <col min="12034" max="12034" width="17.25" customWidth="1"/>
    <col min="12035" max="12035" width="13.33203125" customWidth="1"/>
    <col min="12036" max="12036" width="9.58203125" customWidth="1"/>
    <col min="12037" max="12037" width="13.33203125" customWidth="1"/>
    <col min="12038" max="12038" width="8.58203125" customWidth="1"/>
    <col min="12039" max="12039" width="15.58203125" customWidth="1"/>
    <col min="12040" max="12040" width="16.08203125" customWidth="1"/>
    <col min="12041" max="12041" width="12.5" customWidth="1"/>
    <col min="12042" max="12042" width="12.08203125" customWidth="1"/>
    <col min="12043" max="12043" width="18.08203125" customWidth="1"/>
    <col min="12044" max="12044" width="16.25" customWidth="1"/>
    <col min="12045" max="12046" width="12.83203125" customWidth="1"/>
    <col min="12047" max="12047" width="11.33203125" customWidth="1"/>
    <col min="12048" max="12048" width="11.75" customWidth="1"/>
    <col min="12049" max="12049" width="10.83203125" customWidth="1"/>
    <col min="12050" max="12050" width="16" customWidth="1"/>
    <col min="12051" max="12051" width="14.08203125" customWidth="1"/>
    <col min="12052" max="12052" width="11.75" customWidth="1"/>
    <col min="12053" max="12053" width="13.33203125" customWidth="1"/>
    <col min="12054" max="12054" width="21.58203125" customWidth="1"/>
    <col min="12055" max="12055" width="16.08203125" customWidth="1"/>
    <col min="12056" max="12057" width="14" customWidth="1"/>
    <col min="12058" max="12058" width="9.58203125" customWidth="1"/>
    <col min="12059" max="12059" width="10.75" customWidth="1"/>
    <col min="12060" max="12060" width="9.58203125" customWidth="1"/>
    <col min="12061" max="12061" width="9.25" customWidth="1"/>
    <col min="12062" max="12062" width="9.33203125" customWidth="1"/>
    <col min="12063" max="12064" width="13.25" customWidth="1"/>
    <col min="12065" max="12065" width="8.25" bestFit="1" customWidth="1"/>
    <col min="12066" max="12066" width="10" customWidth="1"/>
    <col min="12068" max="12068" width="9.75" customWidth="1"/>
    <col min="12069" max="12069" width="9.33203125" customWidth="1"/>
    <col min="12070" max="12070" width="10.5" bestFit="1" customWidth="1"/>
    <col min="12077" max="12077" width="9.58203125" customWidth="1"/>
    <col min="12078" max="12078" width="14.75" customWidth="1"/>
    <col min="12079" max="12079" width="11.33203125" customWidth="1"/>
    <col min="12080" max="12080" width="9.83203125" customWidth="1"/>
    <col min="12081" max="12081" width="10.75" customWidth="1"/>
    <col min="12082" max="12082" width="10.08203125" bestFit="1" customWidth="1"/>
    <col min="12083" max="12083" width="12.5" customWidth="1"/>
    <col min="12084" max="12084" width="10.58203125" customWidth="1"/>
    <col min="12087" max="12087" width="15.75" customWidth="1"/>
    <col min="12088" max="12088" width="10" customWidth="1"/>
    <col min="12091" max="12091" width="8.83203125" customWidth="1"/>
    <col min="12092" max="12092" width="9.58203125" bestFit="1" customWidth="1"/>
    <col min="12093" max="12093" width="9.33203125" customWidth="1"/>
    <col min="12095" max="12095" width="7.25" customWidth="1"/>
    <col min="12096" max="12096" width="0" hidden="1" customWidth="1"/>
    <col min="12098" max="12098" width="9.33203125" customWidth="1"/>
    <col min="12099" max="12099" width="10.33203125" customWidth="1"/>
    <col min="12100" max="12100" width="15.83203125" customWidth="1"/>
    <col min="12102" max="12102" width="6.75" customWidth="1"/>
    <col min="12289" max="12289" width="0.33203125" customWidth="1"/>
    <col min="12290" max="12290" width="17.25" customWidth="1"/>
    <col min="12291" max="12291" width="13.33203125" customWidth="1"/>
    <col min="12292" max="12292" width="9.58203125" customWidth="1"/>
    <col min="12293" max="12293" width="13.33203125" customWidth="1"/>
    <col min="12294" max="12294" width="8.58203125" customWidth="1"/>
    <col min="12295" max="12295" width="15.58203125" customWidth="1"/>
    <col min="12296" max="12296" width="16.08203125" customWidth="1"/>
    <col min="12297" max="12297" width="12.5" customWidth="1"/>
    <col min="12298" max="12298" width="12.08203125" customWidth="1"/>
    <col min="12299" max="12299" width="18.08203125" customWidth="1"/>
    <col min="12300" max="12300" width="16.25" customWidth="1"/>
    <col min="12301" max="12302" width="12.83203125" customWidth="1"/>
    <col min="12303" max="12303" width="11.33203125" customWidth="1"/>
    <col min="12304" max="12304" width="11.75" customWidth="1"/>
    <col min="12305" max="12305" width="10.83203125" customWidth="1"/>
    <col min="12306" max="12306" width="16" customWidth="1"/>
    <col min="12307" max="12307" width="14.08203125" customWidth="1"/>
    <col min="12308" max="12308" width="11.75" customWidth="1"/>
    <col min="12309" max="12309" width="13.33203125" customWidth="1"/>
    <col min="12310" max="12310" width="21.58203125" customWidth="1"/>
    <col min="12311" max="12311" width="16.08203125" customWidth="1"/>
    <col min="12312" max="12313" width="14" customWidth="1"/>
    <col min="12314" max="12314" width="9.58203125" customWidth="1"/>
    <col min="12315" max="12315" width="10.75" customWidth="1"/>
    <col min="12316" max="12316" width="9.58203125" customWidth="1"/>
    <col min="12317" max="12317" width="9.25" customWidth="1"/>
    <col min="12318" max="12318" width="9.33203125" customWidth="1"/>
    <col min="12319" max="12320" width="13.25" customWidth="1"/>
    <col min="12321" max="12321" width="8.25" bestFit="1" customWidth="1"/>
    <col min="12322" max="12322" width="10" customWidth="1"/>
    <col min="12324" max="12324" width="9.75" customWidth="1"/>
    <col min="12325" max="12325" width="9.33203125" customWidth="1"/>
    <col min="12326" max="12326" width="10.5" bestFit="1" customWidth="1"/>
    <col min="12333" max="12333" width="9.58203125" customWidth="1"/>
    <col min="12334" max="12334" width="14.75" customWidth="1"/>
    <col min="12335" max="12335" width="11.33203125" customWidth="1"/>
    <col min="12336" max="12336" width="9.83203125" customWidth="1"/>
    <col min="12337" max="12337" width="10.75" customWidth="1"/>
    <col min="12338" max="12338" width="10.08203125" bestFit="1" customWidth="1"/>
    <col min="12339" max="12339" width="12.5" customWidth="1"/>
    <col min="12340" max="12340" width="10.58203125" customWidth="1"/>
    <col min="12343" max="12343" width="15.75" customWidth="1"/>
    <col min="12344" max="12344" width="10" customWidth="1"/>
    <col min="12347" max="12347" width="8.83203125" customWidth="1"/>
    <col min="12348" max="12348" width="9.58203125" bestFit="1" customWidth="1"/>
    <col min="12349" max="12349" width="9.33203125" customWidth="1"/>
    <col min="12351" max="12351" width="7.25" customWidth="1"/>
    <col min="12352" max="12352" width="0" hidden="1" customWidth="1"/>
    <col min="12354" max="12354" width="9.33203125" customWidth="1"/>
    <col min="12355" max="12355" width="10.33203125" customWidth="1"/>
    <col min="12356" max="12356" width="15.83203125" customWidth="1"/>
    <col min="12358" max="12358" width="6.75" customWidth="1"/>
    <col min="12545" max="12545" width="0.33203125" customWidth="1"/>
    <col min="12546" max="12546" width="17.25" customWidth="1"/>
    <col min="12547" max="12547" width="13.33203125" customWidth="1"/>
    <col min="12548" max="12548" width="9.58203125" customWidth="1"/>
    <col min="12549" max="12549" width="13.33203125" customWidth="1"/>
    <col min="12550" max="12550" width="8.58203125" customWidth="1"/>
    <col min="12551" max="12551" width="15.58203125" customWidth="1"/>
    <col min="12552" max="12552" width="16.08203125" customWidth="1"/>
    <col min="12553" max="12553" width="12.5" customWidth="1"/>
    <col min="12554" max="12554" width="12.08203125" customWidth="1"/>
    <col min="12555" max="12555" width="18.08203125" customWidth="1"/>
    <col min="12556" max="12556" width="16.25" customWidth="1"/>
    <col min="12557" max="12558" width="12.83203125" customWidth="1"/>
    <col min="12559" max="12559" width="11.33203125" customWidth="1"/>
    <col min="12560" max="12560" width="11.75" customWidth="1"/>
    <col min="12561" max="12561" width="10.83203125" customWidth="1"/>
    <col min="12562" max="12562" width="16" customWidth="1"/>
    <col min="12563" max="12563" width="14.08203125" customWidth="1"/>
    <col min="12564" max="12564" width="11.75" customWidth="1"/>
    <col min="12565" max="12565" width="13.33203125" customWidth="1"/>
    <col min="12566" max="12566" width="21.58203125" customWidth="1"/>
    <col min="12567" max="12567" width="16.08203125" customWidth="1"/>
    <col min="12568" max="12569" width="14" customWidth="1"/>
    <col min="12570" max="12570" width="9.58203125" customWidth="1"/>
    <col min="12571" max="12571" width="10.75" customWidth="1"/>
    <col min="12572" max="12572" width="9.58203125" customWidth="1"/>
    <col min="12573" max="12573" width="9.25" customWidth="1"/>
    <col min="12574" max="12574" width="9.33203125" customWidth="1"/>
    <col min="12575" max="12576" width="13.25" customWidth="1"/>
    <col min="12577" max="12577" width="8.25" bestFit="1" customWidth="1"/>
    <col min="12578" max="12578" width="10" customWidth="1"/>
    <col min="12580" max="12580" width="9.75" customWidth="1"/>
    <col min="12581" max="12581" width="9.33203125" customWidth="1"/>
    <col min="12582" max="12582" width="10.5" bestFit="1" customWidth="1"/>
    <col min="12589" max="12589" width="9.58203125" customWidth="1"/>
    <col min="12590" max="12590" width="14.75" customWidth="1"/>
    <col min="12591" max="12591" width="11.33203125" customWidth="1"/>
    <col min="12592" max="12592" width="9.83203125" customWidth="1"/>
    <col min="12593" max="12593" width="10.75" customWidth="1"/>
    <col min="12594" max="12594" width="10.08203125" bestFit="1" customWidth="1"/>
    <col min="12595" max="12595" width="12.5" customWidth="1"/>
    <col min="12596" max="12596" width="10.58203125" customWidth="1"/>
    <col min="12599" max="12599" width="15.75" customWidth="1"/>
    <col min="12600" max="12600" width="10" customWidth="1"/>
    <col min="12603" max="12603" width="8.83203125" customWidth="1"/>
    <col min="12604" max="12604" width="9.58203125" bestFit="1" customWidth="1"/>
    <col min="12605" max="12605" width="9.33203125" customWidth="1"/>
    <col min="12607" max="12607" width="7.25" customWidth="1"/>
    <col min="12608" max="12608" width="0" hidden="1" customWidth="1"/>
    <col min="12610" max="12610" width="9.33203125" customWidth="1"/>
    <col min="12611" max="12611" width="10.33203125" customWidth="1"/>
    <col min="12612" max="12612" width="15.83203125" customWidth="1"/>
    <col min="12614" max="12614" width="6.75" customWidth="1"/>
    <col min="12801" max="12801" width="0.33203125" customWidth="1"/>
    <col min="12802" max="12802" width="17.25" customWidth="1"/>
    <col min="12803" max="12803" width="13.33203125" customWidth="1"/>
    <col min="12804" max="12804" width="9.58203125" customWidth="1"/>
    <col min="12805" max="12805" width="13.33203125" customWidth="1"/>
    <col min="12806" max="12806" width="8.58203125" customWidth="1"/>
    <col min="12807" max="12807" width="15.58203125" customWidth="1"/>
    <col min="12808" max="12808" width="16.08203125" customWidth="1"/>
    <col min="12809" max="12809" width="12.5" customWidth="1"/>
    <col min="12810" max="12810" width="12.08203125" customWidth="1"/>
    <col min="12811" max="12811" width="18.08203125" customWidth="1"/>
    <col min="12812" max="12812" width="16.25" customWidth="1"/>
    <col min="12813" max="12814" width="12.83203125" customWidth="1"/>
    <col min="12815" max="12815" width="11.33203125" customWidth="1"/>
    <col min="12816" max="12816" width="11.75" customWidth="1"/>
    <col min="12817" max="12817" width="10.83203125" customWidth="1"/>
    <col min="12818" max="12818" width="16" customWidth="1"/>
    <col min="12819" max="12819" width="14.08203125" customWidth="1"/>
    <col min="12820" max="12820" width="11.75" customWidth="1"/>
    <col min="12821" max="12821" width="13.33203125" customWidth="1"/>
    <col min="12822" max="12822" width="21.58203125" customWidth="1"/>
    <col min="12823" max="12823" width="16.08203125" customWidth="1"/>
    <col min="12824" max="12825" width="14" customWidth="1"/>
    <col min="12826" max="12826" width="9.58203125" customWidth="1"/>
    <col min="12827" max="12827" width="10.75" customWidth="1"/>
    <col min="12828" max="12828" width="9.58203125" customWidth="1"/>
    <col min="12829" max="12829" width="9.25" customWidth="1"/>
    <col min="12830" max="12830" width="9.33203125" customWidth="1"/>
    <col min="12831" max="12832" width="13.25" customWidth="1"/>
    <col min="12833" max="12833" width="8.25" bestFit="1" customWidth="1"/>
    <col min="12834" max="12834" width="10" customWidth="1"/>
    <col min="12836" max="12836" width="9.75" customWidth="1"/>
    <col min="12837" max="12837" width="9.33203125" customWidth="1"/>
    <col min="12838" max="12838" width="10.5" bestFit="1" customWidth="1"/>
    <col min="12845" max="12845" width="9.58203125" customWidth="1"/>
    <col min="12846" max="12846" width="14.75" customWidth="1"/>
    <col min="12847" max="12847" width="11.33203125" customWidth="1"/>
    <col min="12848" max="12848" width="9.83203125" customWidth="1"/>
    <col min="12849" max="12849" width="10.75" customWidth="1"/>
    <col min="12850" max="12850" width="10.08203125" bestFit="1" customWidth="1"/>
    <col min="12851" max="12851" width="12.5" customWidth="1"/>
    <col min="12852" max="12852" width="10.58203125" customWidth="1"/>
    <col min="12855" max="12855" width="15.75" customWidth="1"/>
    <col min="12856" max="12856" width="10" customWidth="1"/>
    <col min="12859" max="12859" width="8.83203125" customWidth="1"/>
    <col min="12860" max="12860" width="9.58203125" bestFit="1" customWidth="1"/>
    <col min="12861" max="12861" width="9.33203125" customWidth="1"/>
    <col min="12863" max="12863" width="7.25" customWidth="1"/>
    <col min="12864" max="12864" width="0" hidden="1" customWidth="1"/>
    <col min="12866" max="12866" width="9.33203125" customWidth="1"/>
    <col min="12867" max="12867" width="10.33203125" customWidth="1"/>
    <col min="12868" max="12868" width="15.83203125" customWidth="1"/>
    <col min="12870" max="12870" width="6.75" customWidth="1"/>
    <col min="13057" max="13057" width="0.33203125" customWidth="1"/>
    <col min="13058" max="13058" width="17.25" customWidth="1"/>
    <col min="13059" max="13059" width="13.33203125" customWidth="1"/>
    <col min="13060" max="13060" width="9.58203125" customWidth="1"/>
    <col min="13061" max="13061" width="13.33203125" customWidth="1"/>
    <col min="13062" max="13062" width="8.58203125" customWidth="1"/>
    <col min="13063" max="13063" width="15.58203125" customWidth="1"/>
    <col min="13064" max="13064" width="16.08203125" customWidth="1"/>
    <col min="13065" max="13065" width="12.5" customWidth="1"/>
    <col min="13066" max="13066" width="12.08203125" customWidth="1"/>
    <col min="13067" max="13067" width="18.08203125" customWidth="1"/>
    <col min="13068" max="13068" width="16.25" customWidth="1"/>
    <col min="13069" max="13070" width="12.83203125" customWidth="1"/>
    <col min="13071" max="13071" width="11.33203125" customWidth="1"/>
    <col min="13072" max="13072" width="11.75" customWidth="1"/>
    <col min="13073" max="13073" width="10.83203125" customWidth="1"/>
    <col min="13074" max="13074" width="16" customWidth="1"/>
    <col min="13075" max="13075" width="14.08203125" customWidth="1"/>
    <col min="13076" max="13076" width="11.75" customWidth="1"/>
    <col min="13077" max="13077" width="13.33203125" customWidth="1"/>
    <col min="13078" max="13078" width="21.58203125" customWidth="1"/>
    <col min="13079" max="13079" width="16.08203125" customWidth="1"/>
    <col min="13080" max="13081" width="14" customWidth="1"/>
    <col min="13082" max="13082" width="9.58203125" customWidth="1"/>
    <col min="13083" max="13083" width="10.75" customWidth="1"/>
    <col min="13084" max="13084" width="9.58203125" customWidth="1"/>
    <col min="13085" max="13085" width="9.25" customWidth="1"/>
    <col min="13086" max="13086" width="9.33203125" customWidth="1"/>
    <col min="13087" max="13088" width="13.25" customWidth="1"/>
    <col min="13089" max="13089" width="8.25" bestFit="1" customWidth="1"/>
    <col min="13090" max="13090" width="10" customWidth="1"/>
    <col min="13092" max="13092" width="9.75" customWidth="1"/>
    <col min="13093" max="13093" width="9.33203125" customWidth="1"/>
    <col min="13094" max="13094" width="10.5" bestFit="1" customWidth="1"/>
    <col min="13101" max="13101" width="9.58203125" customWidth="1"/>
    <col min="13102" max="13102" width="14.75" customWidth="1"/>
    <col min="13103" max="13103" width="11.33203125" customWidth="1"/>
    <col min="13104" max="13104" width="9.83203125" customWidth="1"/>
    <col min="13105" max="13105" width="10.75" customWidth="1"/>
    <col min="13106" max="13106" width="10.08203125" bestFit="1" customWidth="1"/>
    <col min="13107" max="13107" width="12.5" customWidth="1"/>
    <col min="13108" max="13108" width="10.58203125" customWidth="1"/>
    <col min="13111" max="13111" width="15.75" customWidth="1"/>
    <col min="13112" max="13112" width="10" customWidth="1"/>
    <col min="13115" max="13115" width="8.83203125" customWidth="1"/>
    <col min="13116" max="13116" width="9.58203125" bestFit="1" customWidth="1"/>
    <col min="13117" max="13117" width="9.33203125" customWidth="1"/>
    <col min="13119" max="13119" width="7.25" customWidth="1"/>
    <col min="13120" max="13120" width="0" hidden="1" customWidth="1"/>
    <col min="13122" max="13122" width="9.33203125" customWidth="1"/>
    <col min="13123" max="13123" width="10.33203125" customWidth="1"/>
    <col min="13124" max="13124" width="15.83203125" customWidth="1"/>
    <col min="13126" max="13126" width="6.75" customWidth="1"/>
    <col min="13313" max="13313" width="0.33203125" customWidth="1"/>
    <col min="13314" max="13314" width="17.25" customWidth="1"/>
    <col min="13315" max="13315" width="13.33203125" customWidth="1"/>
    <col min="13316" max="13316" width="9.58203125" customWidth="1"/>
    <col min="13317" max="13317" width="13.33203125" customWidth="1"/>
    <col min="13318" max="13318" width="8.58203125" customWidth="1"/>
    <col min="13319" max="13319" width="15.58203125" customWidth="1"/>
    <col min="13320" max="13320" width="16.08203125" customWidth="1"/>
    <col min="13321" max="13321" width="12.5" customWidth="1"/>
    <col min="13322" max="13322" width="12.08203125" customWidth="1"/>
    <col min="13323" max="13323" width="18.08203125" customWidth="1"/>
    <col min="13324" max="13324" width="16.25" customWidth="1"/>
    <col min="13325" max="13326" width="12.83203125" customWidth="1"/>
    <col min="13327" max="13327" width="11.33203125" customWidth="1"/>
    <col min="13328" max="13328" width="11.75" customWidth="1"/>
    <col min="13329" max="13329" width="10.83203125" customWidth="1"/>
    <col min="13330" max="13330" width="16" customWidth="1"/>
    <col min="13331" max="13331" width="14.08203125" customWidth="1"/>
    <col min="13332" max="13332" width="11.75" customWidth="1"/>
    <col min="13333" max="13333" width="13.33203125" customWidth="1"/>
    <col min="13334" max="13334" width="21.58203125" customWidth="1"/>
    <col min="13335" max="13335" width="16.08203125" customWidth="1"/>
    <col min="13336" max="13337" width="14" customWidth="1"/>
    <col min="13338" max="13338" width="9.58203125" customWidth="1"/>
    <col min="13339" max="13339" width="10.75" customWidth="1"/>
    <col min="13340" max="13340" width="9.58203125" customWidth="1"/>
    <col min="13341" max="13341" width="9.25" customWidth="1"/>
    <col min="13342" max="13342" width="9.33203125" customWidth="1"/>
    <col min="13343" max="13344" width="13.25" customWidth="1"/>
    <col min="13345" max="13345" width="8.25" bestFit="1" customWidth="1"/>
    <col min="13346" max="13346" width="10" customWidth="1"/>
    <col min="13348" max="13348" width="9.75" customWidth="1"/>
    <col min="13349" max="13349" width="9.33203125" customWidth="1"/>
    <col min="13350" max="13350" width="10.5" bestFit="1" customWidth="1"/>
    <col min="13357" max="13357" width="9.58203125" customWidth="1"/>
    <col min="13358" max="13358" width="14.75" customWidth="1"/>
    <col min="13359" max="13359" width="11.33203125" customWidth="1"/>
    <col min="13360" max="13360" width="9.83203125" customWidth="1"/>
    <col min="13361" max="13361" width="10.75" customWidth="1"/>
    <col min="13362" max="13362" width="10.08203125" bestFit="1" customWidth="1"/>
    <col min="13363" max="13363" width="12.5" customWidth="1"/>
    <col min="13364" max="13364" width="10.58203125" customWidth="1"/>
    <col min="13367" max="13367" width="15.75" customWidth="1"/>
    <col min="13368" max="13368" width="10" customWidth="1"/>
    <col min="13371" max="13371" width="8.83203125" customWidth="1"/>
    <col min="13372" max="13372" width="9.58203125" bestFit="1" customWidth="1"/>
    <col min="13373" max="13373" width="9.33203125" customWidth="1"/>
    <col min="13375" max="13375" width="7.25" customWidth="1"/>
    <col min="13376" max="13376" width="0" hidden="1" customWidth="1"/>
    <col min="13378" max="13378" width="9.33203125" customWidth="1"/>
    <col min="13379" max="13379" width="10.33203125" customWidth="1"/>
    <col min="13380" max="13380" width="15.83203125" customWidth="1"/>
    <col min="13382" max="13382" width="6.75" customWidth="1"/>
    <col min="13569" max="13569" width="0.33203125" customWidth="1"/>
    <col min="13570" max="13570" width="17.25" customWidth="1"/>
    <col min="13571" max="13571" width="13.33203125" customWidth="1"/>
    <col min="13572" max="13572" width="9.58203125" customWidth="1"/>
    <col min="13573" max="13573" width="13.33203125" customWidth="1"/>
    <col min="13574" max="13574" width="8.58203125" customWidth="1"/>
    <col min="13575" max="13575" width="15.58203125" customWidth="1"/>
    <col min="13576" max="13576" width="16.08203125" customWidth="1"/>
    <col min="13577" max="13577" width="12.5" customWidth="1"/>
    <col min="13578" max="13578" width="12.08203125" customWidth="1"/>
    <col min="13579" max="13579" width="18.08203125" customWidth="1"/>
    <col min="13580" max="13580" width="16.25" customWidth="1"/>
    <col min="13581" max="13582" width="12.83203125" customWidth="1"/>
    <col min="13583" max="13583" width="11.33203125" customWidth="1"/>
    <col min="13584" max="13584" width="11.75" customWidth="1"/>
    <col min="13585" max="13585" width="10.83203125" customWidth="1"/>
    <col min="13586" max="13586" width="16" customWidth="1"/>
    <col min="13587" max="13587" width="14.08203125" customWidth="1"/>
    <col min="13588" max="13588" width="11.75" customWidth="1"/>
    <col min="13589" max="13589" width="13.33203125" customWidth="1"/>
    <col min="13590" max="13590" width="21.58203125" customWidth="1"/>
    <col min="13591" max="13591" width="16.08203125" customWidth="1"/>
    <col min="13592" max="13593" width="14" customWidth="1"/>
    <col min="13594" max="13594" width="9.58203125" customWidth="1"/>
    <col min="13595" max="13595" width="10.75" customWidth="1"/>
    <col min="13596" max="13596" width="9.58203125" customWidth="1"/>
    <col min="13597" max="13597" width="9.25" customWidth="1"/>
    <col min="13598" max="13598" width="9.33203125" customWidth="1"/>
    <col min="13599" max="13600" width="13.25" customWidth="1"/>
    <col min="13601" max="13601" width="8.25" bestFit="1" customWidth="1"/>
    <col min="13602" max="13602" width="10" customWidth="1"/>
    <col min="13604" max="13604" width="9.75" customWidth="1"/>
    <col min="13605" max="13605" width="9.33203125" customWidth="1"/>
    <col min="13606" max="13606" width="10.5" bestFit="1" customWidth="1"/>
    <col min="13613" max="13613" width="9.58203125" customWidth="1"/>
    <col min="13614" max="13614" width="14.75" customWidth="1"/>
    <col min="13615" max="13615" width="11.33203125" customWidth="1"/>
    <col min="13616" max="13616" width="9.83203125" customWidth="1"/>
    <col min="13617" max="13617" width="10.75" customWidth="1"/>
    <col min="13618" max="13618" width="10.08203125" bestFit="1" customWidth="1"/>
    <col min="13619" max="13619" width="12.5" customWidth="1"/>
    <col min="13620" max="13620" width="10.58203125" customWidth="1"/>
    <col min="13623" max="13623" width="15.75" customWidth="1"/>
    <col min="13624" max="13624" width="10" customWidth="1"/>
    <col min="13627" max="13627" width="8.83203125" customWidth="1"/>
    <col min="13628" max="13628" width="9.58203125" bestFit="1" customWidth="1"/>
    <col min="13629" max="13629" width="9.33203125" customWidth="1"/>
    <col min="13631" max="13631" width="7.25" customWidth="1"/>
    <col min="13632" max="13632" width="0" hidden="1" customWidth="1"/>
    <col min="13634" max="13634" width="9.33203125" customWidth="1"/>
    <col min="13635" max="13635" width="10.33203125" customWidth="1"/>
    <col min="13636" max="13636" width="15.83203125" customWidth="1"/>
    <col min="13638" max="13638" width="6.75" customWidth="1"/>
    <col min="13825" max="13825" width="0.33203125" customWidth="1"/>
    <col min="13826" max="13826" width="17.25" customWidth="1"/>
    <col min="13827" max="13827" width="13.33203125" customWidth="1"/>
    <col min="13828" max="13828" width="9.58203125" customWidth="1"/>
    <col min="13829" max="13829" width="13.33203125" customWidth="1"/>
    <col min="13830" max="13830" width="8.58203125" customWidth="1"/>
    <col min="13831" max="13831" width="15.58203125" customWidth="1"/>
    <col min="13832" max="13832" width="16.08203125" customWidth="1"/>
    <col min="13833" max="13833" width="12.5" customWidth="1"/>
    <col min="13834" max="13834" width="12.08203125" customWidth="1"/>
    <col min="13835" max="13835" width="18.08203125" customWidth="1"/>
    <col min="13836" max="13836" width="16.25" customWidth="1"/>
    <col min="13837" max="13838" width="12.83203125" customWidth="1"/>
    <col min="13839" max="13839" width="11.33203125" customWidth="1"/>
    <col min="13840" max="13840" width="11.75" customWidth="1"/>
    <col min="13841" max="13841" width="10.83203125" customWidth="1"/>
    <col min="13842" max="13842" width="16" customWidth="1"/>
    <col min="13843" max="13843" width="14.08203125" customWidth="1"/>
    <col min="13844" max="13844" width="11.75" customWidth="1"/>
    <col min="13845" max="13845" width="13.33203125" customWidth="1"/>
    <col min="13846" max="13846" width="21.58203125" customWidth="1"/>
    <col min="13847" max="13847" width="16.08203125" customWidth="1"/>
    <col min="13848" max="13849" width="14" customWidth="1"/>
    <col min="13850" max="13850" width="9.58203125" customWidth="1"/>
    <col min="13851" max="13851" width="10.75" customWidth="1"/>
    <col min="13852" max="13852" width="9.58203125" customWidth="1"/>
    <col min="13853" max="13853" width="9.25" customWidth="1"/>
    <col min="13854" max="13854" width="9.33203125" customWidth="1"/>
    <col min="13855" max="13856" width="13.25" customWidth="1"/>
    <col min="13857" max="13857" width="8.25" bestFit="1" customWidth="1"/>
    <col min="13858" max="13858" width="10" customWidth="1"/>
    <col min="13860" max="13860" width="9.75" customWidth="1"/>
    <col min="13861" max="13861" width="9.33203125" customWidth="1"/>
    <col min="13862" max="13862" width="10.5" bestFit="1" customWidth="1"/>
    <col min="13869" max="13869" width="9.58203125" customWidth="1"/>
    <col min="13870" max="13870" width="14.75" customWidth="1"/>
    <col min="13871" max="13871" width="11.33203125" customWidth="1"/>
    <col min="13872" max="13872" width="9.83203125" customWidth="1"/>
    <col min="13873" max="13873" width="10.75" customWidth="1"/>
    <col min="13874" max="13874" width="10.08203125" bestFit="1" customWidth="1"/>
    <col min="13875" max="13875" width="12.5" customWidth="1"/>
    <col min="13876" max="13876" width="10.58203125" customWidth="1"/>
    <col min="13879" max="13879" width="15.75" customWidth="1"/>
    <col min="13880" max="13880" width="10" customWidth="1"/>
    <col min="13883" max="13883" width="8.83203125" customWidth="1"/>
    <col min="13884" max="13884" width="9.58203125" bestFit="1" customWidth="1"/>
    <col min="13885" max="13885" width="9.33203125" customWidth="1"/>
    <col min="13887" max="13887" width="7.25" customWidth="1"/>
    <col min="13888" max="13888" width="0" hidden="1" customWidth="1"/>
    <col min="13890" max="13890" width="9.33203125" customWidth="1"/>
    <col min="13891" max="13891" width="10.33203125" customWidth="1"/>
    <col min="13892" max="13892" width="15.83203125" customWidth="1"/>
    <col min="13894" max="13894" width="6.75" customWidth="1"/>
    <col min="14081" max="14081" width="0.33203125" customWidth="1"/>
    <col min="14082" max="14082" width="17.25" customWidth="1"/>
    <col min="14083" max="14083" width="13.33203125" customWidth="1"/>
    <col min="14084" max="14084" width="9.58203125" customWidth="1"/>
    <col min="14085" max="14085" width="13.33203125" customWidth="1"/>
    <col min="14086" max="14086" width="8.58203125" customWidth="1"/>
    <col min="14087" max="14087" width="15.58203125" customWidth="1"/>
    <col min="14088" max="14088" width="16.08203125" customWidth="1"/>
    <col min="14089" max="14089" width="12.5" customWidth="1"/>
    <col min="14090" max="14090" width="12.08203125" customWidth="1"/>
    <col min="14091" max="14091" width="18.08203125" customWidth="1"/>
    <col min="14092" max="14092" width="16.25" customWidth="1"/>
    <col min="14093" max="14094" width="12.83203125" customWidth="1"/>
    <col min="14095" max="14095" width="11.33203125" customWidth="1"/>
    <col min="14096" max="14096" width="11.75" customWidth="1"/>
    <col min="14097" max="14097" width="10.83203125" customWidth="1"/>
    <col min="14098" max="14098" width="16" customWidth="1"/>
    <col min="14099" max="14099" width="14.08203125" customWidth="1"/>
    <col min="14100" max="14100" width="11.75" customWidth="1"/>
    <col min="14101" max="14101" width="13.33203125" customWidth="1"/>
    <col min="14102" max="14102" width="21.58203125" customWidth="1"/>
    <col min="14103" max="14103" width="16.08203125" customWidth="1"/>
    <col min="14104" max="14105" width="14" customWidth="1"/>
    <col min="14106" max="14106" width="9.58203125" customWidth="1"/>
    <col min="14107" max="14107" width="10.75" customWidth="1"/>
    <col min="14108" max="14108" width="9.58203125" customWidth="1"/>
    <col min="14109" max="14109" width="9.25" customWidth="1"/>
    <col min="14110" max="14110" width="9.33203125" customWidth="1"/>
    <col min="14111" max="14112" width="13.25" customWidth="1"/>
    <col min="14113" max="14113" width="8.25" bestFit="1" customWidth="1"/>
    <col min="14114" max="14114" width="10" customWidth="1"/>
    <col min="14116" max="14116" width="9.75" customWidth="1"/>
    <col min="14117" max="14117" width="9.33203125" customWidth="1"/>
    <col min="14118" max="14118" width="10.5" bestFit="1" customWidth="1"/>
    <col min="14125" max="14125" width="9.58203125" customWidth="1"/>
    <col min="14126" max="14126" width="14.75" customWidth="1"/>
    <col min="14127" max="14127" width="11.33203125" customWidth="1"/>
    <col min="14128" max="14128" width="9.83203125" customWidth="1"/>
    <col min="14129" max="14129" width="10.75" customWidth="1"/>
    <col min="14130" max="14130" width="10.08203125" bestFit="1" customWidth="1"/>
    <col min="14131" max="14131" width="12.5" customWidth="1"/>
    <col min="14132" max="14132" width="10.58203125" customWidth="1"/>
    <col min="14135" max="14135" width="15.75" customWidth="1"/>
    <col min="14136" max="14136" width="10" customWidth="1"/>
    <col min="14139" max="14139" width="8.83203125" customWidth="1"/>
    <col min="14140" max="14140" width="9.58203125" bestFit="1" customWidth="1"/>
    <col min="14141" max="14141" width="9.33203125" customWidth="1"/>
    <col min="14143" max="14143" width="7.25" customWidth="1"/>
    <col min="14144" max="14144" width="0" hidden="1" customWidth="1"/>
    <col min="14146" max="14146" width="9.33203125" customWidth="1"/>
    <col min="14147" max="14147" width="10.33203125" customWidth="1"/>
    <col min="14148" max="14148" width="15.83203125" customWidth="1"/>
    <col min="14150" max="14150" width="6.75" customWidth="1"/>
    <col min="14337" max="14337" width="0.33203125" customWidth="1"/>
    <col min="14338" max="14338" width="17.25" customWidth="1"/>
    <col min="14339" max="14339" width="13.33203125" customWidth="1"/>
    <col min="14340" max="14340" width="9.58203125" customWidth="1"/>
    <col min="14341" max="14341" width="13.33203125" customWidth="1"/>
    <col min="14342" max="14342" width="8.58203125" customWidth="1"/>
    <col min="14343" max="14343" width="15.58203125" customWidth="1"/>
    <col min="14344" max="14344" width="16.08203125" customWidth="1"/>
    <col min="14345" max="14345" width="12.5" customWidth="1"/>
    <col min="14346" max="14346" width="12.08203125" customWidth="1"/>
    <col min="14347" max="14347" width="18.08203125" customWidth="1"/>
    <col min="14348" max="14348" width="16.25" customWidth="1"/>
    <col min="14349" max="14350" width="12.83203125" customWidth="1"/>
    <col min="14351" max="14351" width="11.33203125" customWidth="1"/>
    <col min="14352" max="14352" width="11.75" customWidth="1"/>
    <col min="14353" max="14353" width="10.83203125" customWidth="1"/>
    <col min="14354" max="14354" width="16" customWidth="1"/>
    <col min="14355" max="14355" width="14.08203125" customWidth="1"/>
    <col min="14356" max="14356" width="11.75" customWidth="1"/>
    <col min="14357" max="14357" width="13.33203125" customWidth="1"/>
    <col min="14358" max="14358" width="21.58203125" customWidth="1"/>
    <col min="14359" max="14359" width="16.08203125" customWidth="1"/>
    <col min="14360" max="14361" width="14" customWidth="1"/>
    <col min="14362" max="14362" width="9.58203125" customWidth="1"/>
    <col min="14363" max="14363" width="10.75" customWidth="1"/>
    <col min="14364" max="14364" width="9.58203125" customWidth="1"/>
    <col min="14365" max="14365" width="9.25" customWidth="1"/>
    <col min="14366" max="14366" width="9.33203125" customWidth="1"/>
    <col min="14367" max="14368" width="13.25" customWidth="1"/>
    <col min="14369" max="14369" width="8.25" bestFit="1" customWidth="1"/>
    <col min="14370" max="14370" width="10" customWidth="1"/>
    <col min="14372" max="14372" width="9.75" customWidth="1"/>
    <col min="14373" max="14373" width="9.33203125" customWidth="1"/>
    <col min="14374" max="14374" width="10.5" bestFit="1" customWidth="1"/>
    <col min="14381" max="14381" width="9.58203125" customWidth="1"/>
    <col min="14382" max="14382" width="14.75" customWidth="1"/>
    <col min="14383" max="14383" width="11.33203125" customWidth="1"/>
    <col min="14384" max="14384" width="9.83203125" customWidth="1"/>
    <col min="14385" max="14385" width="10.75" customWidth="1"/>
    <col min="14386" max="14386" width="10.08203125" bestFit="1" customWidth="1"/>
    <col min="14387" max="14387" width="12.5" customWidth="1"/>
    <col min="14388" max="14388" width="10.58203125" customWidth="1"/>
    <col min="14391" max="14391" width="15.75" customWidth="1"/>
    <col min="14392" max="14392" width="10" customWidth="1"/>
    <col min="14395" max="14395" width="8.83203125" customWidth="1"/>
    <col min="14396" max="14396" width="9.58203125" bestFit="1" customWidth="1"/>
    <col min="14397" max="14397" width="9.33203125" customWidth="1"/>
    <col min="14399" max="14399" width="7.25" customWidth="1"/>
    <col min="14400" max="14400" width="0" hidden="1" customWidth="1"/>
    <col min="14402" max="14402" width="9.33203125" customWidth="1"/>
    <col min="14403" max="14403" width="10.33203125" customWidth="1"/>
    <col min="14404" max="14404" width="15.83203125" customWidth="1"/>
    <col min="14406" max="14406" width="6.75" customWidth="1"/>
    <col min="14593" max="14593" width="0.33203125" customWidth="1"/>
    <col min="14594" max="14594" width="17.25" customWidth="1"/>
    <col min="14595" max="14595" width="13.33203125" customWidth="1"/>
    <col min="14596" max="14596" width="9.58203125" customWidth="1"/>
    <col min="14597" max="14597" width="13.33203125" customWidth="1"/>
    <col min="14598" max="14598" width="8.58203125" customWidth="1"/>
    <col min="14599" max="14599" width="15.58203125" customWidth="1"/>
    <col min="14600" max="14600" width="16.08203125" customWidth="1"/>
    <col min="14601" max="14601" width="12.5" customWidth="1"/>
    <col min="14602" max="14602" width="12.08203125" customWidth="1"/>
    <col min="14603" max="14603" width="18.08203125" customWidth="1"/>
    <col min="14604" max="14604" width="16.25" customWidth="1"/>
    <col min="14605" max="14606" width="12.83203125" customWidth="1"/>
    <col min="14607" max="14607" width="11.33203125" customWidth="1"/>
    <col min="14608" max="14608" width="11.75" customWidth="1"/>
    <col min="14609" max="14609" width="10.83203125" customWidth="1"/>
    <col min="14610" max="14610" width="16" customWidth="1"/>
    <col min="14611" max="14611" width="14.08203125" customWidth="1"/>
    <col min="14612" max="14612" width="11.75" customWidth="1"/>
    <col min="14613" max="14613" width="13.33203125" customWidth="1"/>
    <col min="14614" max="14614" width="21.58203125" customWidth="1"/>
    <col min="14615" max="14615" width="16.08203125" customWidth="1"/>
    <col min="14616" max="14617" width="14" customWidth="1"/>
    <col min="14618" max="14618" width="9.58203125" customWidth="1"/>
    <col min="14619" max="14619" width="10.75" customWidth="1"/>
    <col min="14620" max="14620" width="9.58203125" customWidth="1"/>
    <col min="14621" max="14621" width="9.25" customWidth="1"/>
    <col min="14622" max="14622" width="9.33203125" customWidth="1"/>
    <col min="14623" max="14624" width="13.25" customWidth="1"/>
    <col min="14625" max="14625" width="8.25" bestFit="1" customWidth="1"/>
    <col min="14626" max="14626" width="10" customWidth="1"/>
    <col min="14628" max="14628" width="9.75" customWidth="1"/>
    <col min="14629" max="14629" width="9.33203125" customWidth="1"/>
    <col min="14630" max="14630" width="10.5" bestFit="1" customWidth="1"/>
    <col min="14637" max="14637" width="9.58203125" customWidth="1"/>
    <col min="14638" max="14638" width="14.75" customWidth="1"/>
    <col min="14639" max="14639" width="11.33203125" customWidth="1"/>
    <col min="14640" max="14640" width="9.83203125" customWidth="1"/>
    <col min="14641" max="14641" width="10.75" customWidth="1"/>
    <col min="14642" max="14642" width="10.08203125" bestFit="1" customWidth="1"/>
    <col min="14643" max="14643" width="12.5" customWidth="1"/>
    <col min="14644" max="14644" width="10.58203125" customWidth="1"/>
    <col min="14647" max="14647" width="15.75" customWidth="1"/>
    <col min="14648" max="14648" width="10" customWidth="1"/>
    <col min="14651" max="14651" width="8.83203125" customWidth="1"/>
    <col min="14652" max="14652" width="9.58203125" bestFit="1" customWidth="1"/>
    <col min="14653" max="14653" width="9.33203125" customWidth="1"/>
    <col min="14655" max="14655" width="7.25" customWidth="1"/>
    <col min="14656" max="14656" width="0" hidden="1" customWidth="1"/>
    <col min="14658" max="14658" width="9.33203125" customWidth="1"/>
    <col min="14659" max="14659" width="10.33203125" customWidth="1"/>
    <col min="14660" max="14660" width="15.83203125" customWidth="1"/>
    <col min="14662" max="14662" width="6.75" customWidth="1"/>
    <col min="14849" max="14849" width="0.33203125" customWidth="1"/>
    <col min="14850" max="14850" width="17.25" customWidth="1"/>
    <col min="14851" max="14851" width="13.33203125" customWidth="1"/>
    <col min="14852" max="14852" width="9.58203125" customWidth="1"/>
    <col min="14853" max="14853" width="13.33203125" customWidth="1"/>
    <col min="14854" max="14854" width="8.58203125" customWidth="1"/>
    <col min="14855" max="14855" width="15.58203125" customWidth="1"/>
    <col min="14856" max="14856" width="16.08203125" customWidth="1"/>
    <col min="14857" max="14857" width="12.5" customWidth="1"/>
    <col min="14858" max="14858" width="12.08203125" customWidth="1"/>
    <col min="14859" max="14859" width="18.08203125" customWidth="1"/>
    <col min="14860" max="14860" width="16.25" customWidth="1"/>
    <col min="14861" max="14862" width="12.83203125" customWidth="1"/>
    <col min="14863" max="14863" width="11.33203125" customWidth="1"/>
    <col min="14864" max="14864" width="11.75" customWidth="1"/>
    <col min="14865" max="14865" width="10.83203125" customWidth="1"/>
    <col min="14866" max="14866" width="16" customWidth="1"/>
    <col min="14867" max="14867" width="14.08203125" customWidth="1"/>
    <col min="14868" max="14868" width="11.75" customWidth="1"/>
    <col min="14869" max="14869" width="13.33203125" customWidth="1"/>
    <col min="14870" max="14870" width="21.58203125" customWidth="1"/>
    <col min="14871" max="14871" width="16.08203125" customWidth="1"/>
    <col min="14872" max="14873" width="14" customWidth="1"/>
    <col min="14874" max="14874" width="9.58203125" customWidth="1"/>
    <col min="14875" max="14875" width="10.75" customWidth="1"/>
    <col min="14876" max="14876" width="9.58203125" customWidth="1"/>
    <col min="14877" max="14877" width="9.25" customWidth="1"/>
    <col min="14878" max="14878" width="9.33203125" customWidth="1"/>
    <col min="14879" max="14880" width="13.25" customWidth="1"/>
    <col min="14881" max="14881" width="8.25" bestFit="1" customWidth="1"/>
    <col min="14882" max="14882" width="10" customWidth="1"/>
    <col min="14884" max="14884" width="9.75" customWidth="1"/>
    <col min="14885" max="14885" width="9.33203125" customWidth="1"/>
    <col min="14886" max="14886" width="10.5" bestFit="1" customWidth="1"/>
    <col min="14893" max="14893" width="9.58203125" customWidth="1"/>
    <col min="14894" max="14894" width="14.75" customWidth="1"/>
    <col min="14895" max="14895" width="11.33203125" customWidth="1"/>
    <col min="14896" max="14896" width="9.83203125" customWidth="1"/>
    <col min="14897" max="14897" width="10.75" customWidth="1"/>
    <col min="14898" max="14898" width="10.08203125" bestFit="1" customWidth="1"/>
    <col min="14899" max="14899" width="12.5" customWidth="1"/>
    <col min="14900" max="14900" width="10.58203125" customWidth="1"/>
    <col min="14903" max="14903" width="15.75" customWidth="1"/>
    <col min="14904" max="14904" width="10" customWidth="1"/>
    <col min="14907" max="14907" width="8.83203125" customWidth="1"/>
    <col min="14908" max="14908" width="9.58203125" bestFit="1" customWidth="1"/>
    <col min="14909" max="14909" width="9.33203125" customWidth="1"/>
    <col min="14911" max="14911" width="7.25" customWidth="1"/>
    <col min="14912" max="14912" width="0" hidden="1" customWidth="1"/>
    <col min="14914" max="14914" width="9.33203125" customWidth="1"/>
    <col min="14915" max="14915" width="10.33203125" customWidth="1"/>
    <col min="14916" max="14916" width="15.83203125" customWidth="1"/>
    <col min="14918" max="14918" width="6.75" customWidth="1"/>
    <col min="15105" max="15105" width="0.33203125" customWidth="1"/>
    <col min="15106" max="15106" width="17.25" customWidth="1"/>
    <col min="15107" max="15107" width="13.33203125" customWidth="1"/>
    <col min="15108" max="15108" width="9.58203125" customWidth="1"/>
    <col min="15109" max="15109" width="13.33203125" customWidth="1"/>
    <col min="15110" max="15110" width="8.58203125" customWidth="1"/>
    <col min="15111" max="15111" width="15.58203125" customWidth="1"/>
    <col min="15112" max="15112" width="16.08203125" customWidth="1"/>
    <col min="15113" max="15113" width="12.5" customWidth="1"/>
    <col min="15114" max="15114" width="12.08203125" customWidth="1"/>
    <col min="15115" max="15115" width="18.08203125" customWidth="1"/>
    <col min="15116" max="15116" width="16.25" customWidth="1"/>
    <col min="15117" max="15118" width="12.83203125" customWidth="1"/>
    <col min="15119" max="15119" width="11.33203125" customWidth="1"/>
    <col min="15120" max="15120" width="11.75" customWidth="1"/>
    <col min="15121" max="15121" width="10.83203125" customWidth="1"/>
    <col min="15122" max="15122" width="16" customWidth="1"/>
    <col min="15123" max="15123" width="14.08203125" customWidth="1"/>
    <col min="15124" max="15124" width="11.75" customWidth="1"/>
    <col min="15125" max="15125" width="13.33203125" customWidth="1"/>
    <col min="15126" max="15126" width="21.58203125" customWidth="1"/>
    <col min="15127" max="15127" width="16.08203125" customWidth="1"/>
    <col min="15128" max="15129" width="14" customWidth="1"/>
    <col min="15130" max="15130" width="9.58203125" customWidth="1"/>
    <col min="15131" max="15131" width="10.75" customWidth="1"/>
    <col min="15132" max="15132" width="9.58203125" customWidth="1"/>
    <col min="15133" max="15133" width="9.25" customWidth="1"/>
    <col min="15134" max="15134" width="9.33203125" customWidth="1"/>
    <col min="15135" max="15136" width="13.25" customWidth="1"/>
    <col min="15137" max="15137" width="8.25" bestFit="1" customWidth="1"/>
    <col min="15138" max="15138" width="10" customWidth="1"/>
    <col min="15140" max="15140" width="9.75" customWidth="1"/>
    <col min="15141" max="15141" width="9.33203125" customWidth="1"/>
    <col min="15142" max="15142" width="10.5" bestFit="1" customWidth="1"/>
    <col min="15149" max="15149" width="9.58203125" customWidth="1"/>
    <col min="15150" max="15150" width="14.75" customWidth="1"/>
    <col min="15151" max="15151" width="11.33203125" customWidth="1"/>
    <col min="15152" max="15152" width="9.83203125" customWidth="1"/>
    <col min="15153" max="15153" width="10.75" customWidth="1"/>
    <col min="15154" max="15154" width="10.08203125" bestFit="1" customWidth="1"/>
    <col min="15155" max="15155" width="12.5" customWidth="1"/>
    <col min="15156" max="15156" width="10.58203125" customWidth="1"/>
    <col min="15159" max="15159" width="15.75" customWidth="1"/>
    <col min="15160" max="15160" width="10" customWidth="1"/>
    <col min="15163" max="15163" width="8.83203125" customWidth="1"/>
    <col min="15164" max="15164" width="9.58203125" bestFit="1" customWidth="1"/>
    <col min="15165" max="15165" width="9.33203125" customWidth="1"/>
    <col min="15167" max="15167" width="7.25" customWidth="1"/>
    <col min="15168" max="15168" width="0" hidden="1" customWidth="1"/>
    <col min="15170" max="15170" width="9.33203125" customWidth="1"/>
    <col min="15171" max="15171" width="10.33203125" customWidth="1"/>
    <col min="15172" max="15172" width="15.83203125" customWidth="1"/>
    <col min="15174" max="15174" width="6.75" customWidth="1"/>
    <col min="15361" max="15361" width="0.33203125" customWidth="1"/>
    <col min="15362" max="15362" width="17.25" customWidth="1"/>
    <col min="15363" max="15363" width="13.33203125" customWidth="1"/>
    <col min="15364" max="15364" width="9.58203125" customWidth="1"/>
    <col min="15365" max="15365" width="13.33203125" customWidth="1"/>
    <col min="15366" max="15366" width="8.58203125" customWidth="1"/>
    <col min="15367" max="15367" width="15.58203125" customWidth="1"/>
    <col min="15368" max="15368" width="16.08203125" customWidth="1"/>
    <col min="15369" max="15369" width="12.5" customWidth="1"/>
    <col min="15370" max="15370" width="12.08203125" customWidth="1"/>
    <col min="15371" max="15371" width="18.08203125" customWidth="1"/>
    <col min="15372" max="15372" width="16.25" customWidth="1"/>
    <col min="15373" max="15374" width="12.83203125" customWidth="1"/>
    <col min="15375" max="15375" width="11.33203125" customWidth="1"/>
    <col min="15376" max="15376" width="11.75" customWidth="1"/>
    <col min="15377" max="15377" width="10.83203125" customWidth="1"/>
    <col min="15378" max="15378" width="16" customWidth="1"/>
    <col min="15379" max="15379" width="14.08203125" customWidth="1"/>
    <col min="15380" max="15380" width="11.75" customWidth="1"/>
    <col min="15381" max="15381" width="13.33203125" customWidth="1"/>
    <col min="15382" max="15382" width="21.58203125" customWidth="1"/>
    <col min="15383" max="15383" width="16.08203125" customWidth="1"/>
    <col min="15384" max="15385" width="14" customWidth="1"/>
    <col min="15386" max="15386" width="9.58203125" customWidth="1"/>
    <col min="15387" max="15387" width="10.75" customWidth="1"/>
    <col min="15388" max="15388" width="9.58203125" customWidth="1"/>
    <col min="15389" max="15389" width="9.25" customWidth="1"/>
    <col min="15390" max="15390" width="9.33203125" customWidth="1"/>
    <col min="15391" max="15392" width="13.25" customWidth="1"/>
    <col min="15393" max="15393" width="8.25" bestFit="1" customWidth="1"/>
    <col min="15394" max="15394" width="10" customWidth="1"/>
    <col min="15396" max="15396" width="9.75" customWidth="1"/>
    <col min="15397" max="15397" width="9.33203125" customWidth="1"/>
    <col min="15398" max="15398" width="10.5" bestFit="1" customWidth="1"/>
    <col min="15405" max="15405" width="9.58203125" customWidth="1"/>
    <col min="15406" max="15406" width="14.75" customWidth="1"/>
    <col min="15407" max="15407" width="11.33203125" customWidth="1"/>
    <col min="15408" max="15408" width="9.83203125" customWidth="1"/>
    <col min="15409" max="15409" width="10.75" customWidth="1"/>
    <col min="15410" max="15410" width="10.08203125" bestFit="1" customWidth="1"/>
    <col min="15411" max="15411" width="12.5" customWidth="1"/>
    <col min="15412" max="15412" width="10.58203125" customWidth="1"/>
    <col min="15415" max="15415" width="15.75" customWidth="1"/>
    <col min="15416" max="15416" width="10" customWidth="1"/>
    <col min="15419" max="15419" width="8.83203125" customWidth="1"/>
    <col min="15420" max="15420" width="9.58203125" bestFit="1" customWidth="1"/>
    <col min="15421" max="15421" width="9.33203125" customWidth="1"/>
    <col min="15423" max="15423" width="7.25" customWidth="1"/>
    <col min="15424" max="15424" width="0" hidden="1" customWidth="1"/>
    <col min="15426" max="15426" width="9.33203125" customWidth="1"/>
    <col min="15427" max="15427" width="10.33203125" customWidth="1"/>
    <col min="15428" max="15428" width="15.83203125" customWidth="1"/>
    <col min="15430" max="15430" width="6.75" customWidth="1"/>
    <col min="15617" max="15617" width="0.33203125" customWidth="1"/>
    <col min="15618" max="15618" width="17.25" customWidth="1"/>
    <col min="15619" max="15619" width="13.33203125" customWidth="1"/>
    <col min="15620" max="15620" width="9.58203125" customWidth="1"/>
    <col min="15621" max="15621" width="13.33203125" customWidth="1"/>
    <col min="15622" max="15622" width="8.58203125" customWidth="1"/>
    <col min="15623" max="15623" width="15.58203125" customWidth="1"/>
    <col min="15624" max="15624" width="16.08203125" customWidth="1"/>
    <col min="15625" max="15625" width="12.5" customWidth="1"/>
    <col min="15626" max="15626" width="12.08203125" customWidth="1"/>
    <col min="15627" max="15627" width="18.08203125" customWidth="1"/>
    <col min="15628" max="15628" width="16.25" customWidth="1"/>
    <col min="15629" max="15630" width="12.83203125" customWidth="1"/>
    <col min="15631" max="15631" width="11.33203125" customWidth="1"/>
    <col min="15632" max="15632" width="11.75" customWidth="1"/>
    <col min="15633" max="15633" width="10.83203125" customWidth="1"/>
    <col min="15634" max="15634" width="16" customWidth="1"/>
    <col min="15635" max="15635" width="14.08203125" customWidth="1"/>
    <col min="15636" max="15636" width="11.75" customWidth="1"/>
    <col min="15637" max="15637" width="13.33203125" customWidth="1"/>
    <col min="15638" max="15638" width="21.58203125" customWidth="1"/>
    <col min="15639" max="15639" width="16.08203125" customWidth="1"/>
    <col min="15640" max="15641" width="14" customWidth="1"/>
    <col min="15642" max="15642" width="9.58203125" customWidth="1"/>
    <col min="15643" max="15643" width="10.75" customWidth="1"/>
    <col min="15644" max="15644" width="9.58203125" customWidth="1"/>
    <col min="15645" max="15645" width="9.25" customWidth="1"/>
    <col min="15646" max="15646" width="9.33203125" customWidth="1"/>
    <col min="15647" max="15648" width="13.25" customWidth="1"/>
    <col min="15649" max="15649" width="8.25" bestFit="1" customWidth="1"/>
    <col min="15650" max="15650" width="10" customWidth="1"/>
    <col min="15652" max="15652" width="9.75" customWidth="1"/>
    <col min="15653" max="15653" width="9.33203125" customWidth="1"/>
    <col min="15654" max="15654" width="10.5" bestFit="1" customWidth="1"/>
    <col min="15661" max="15661" width="9.58203125" customWidth="1"/>
    <col min="15662" max="15662" width="14.75" customWidth="1"/>
    <col min="15663" max="15663" width="11.33203125" customWidth="1"/>
    <col min="15664" max="15664" width="9.83203125" customWidth="1"/>
    <col min="15665" max="15665" width="10.75" customWidth="1"/>
    <col min="15666" max="15666" width="10.08203125" bestFit="1" customWidth="1"/>
    <col min="15667" max="15667" width="12.5" customWidth="1"/>
    <col min="15668" max="15668" width="10.58203125" customWidth="1"/>
    <col min="15671" max="15671" width="15.75" customWidth="1"/>
    <col min="15672" max="15672" width="10" customWidth="1"/>
    <col min="15675" max="15675" width="8.83203125" customWidth="1"/>
    <col min="15676" max="15676" width="9.58203125" bestFit="1" customWidth="1"/>
    <col min="15677" max="15677" width="9.33203125" customWidth="1"/>
    <col min="15679" max="15679" width="7.25" customWidth="1"/>
    <col min="15680" max="15680" width="0" hidden="1" customWidth="1"/>
    <col min="15682" max="15682" width="9.33203125" customWidth="1"/>
    <col min="15683" max="15683" width="10.33203125" customWidth="1"/>
    <col min="15684" max="15684" width="15.83203125" customWidth="1"/>
    <col min="15686" max="15686" width="6.75" customWidth="1"/>
    <col min="15873" max="15873" width="0.33203125" customWidth="1"/>
    <col min="15874" max="15874" width="17.25" customWidth="1"/>
    <col min="15875" max="15875" width="13.33203125" customWidth="1"/>
    <col min="15876" max="15876" width="9.58203125" customWidth="1"/>
    <col min="15877" max="15877" width="13.33203125" customWidth="1"/>
    <col min="15878" max="15878" width="8.58203125" customWidth="1"/>
    <col min="15879" max="15879" width="15.58203125" customWidth="1"/>
    <col min="15880" max="15880" width="16.08203125" customWidth="1"/>
    <col min="15881" max="15881" width="12.5" customWidth="1"/>
    <col min="15882" max="15882" width="12.08203125" customWidth="1"/>
    <col min="15883" max="15883" width="18.08203125" customWidth="1"/>
    <col min="15884" max="15884" width="16.25" customWidth="1"/>
    <col min="15885" max="15886" width="12.83203125" customWidth="1"/>
    <col min="15887" max="15887" width="11.33203125" customWidth="1"/>
    <col min="15888" max="15888" width="11.75" customWidth="1"/>
    <col min="15889" max="15889" width="10.83203125" customWidth="1"/>
    <col min="15890" max="15890" width="16" customWidth="1"/>
    <col min="15891" max="15891" width="14.08203125" customWidth="1"/>
    <col min="15892" max="15892" width="11.75" customWidth="1"/>
    <col min="15893" max="15893" width="13.33203125" customWidth="1"/>
    <col min="15894" max="15894" width="21.58203125" customWidth="1"/>
    <col min="15895" max="15895" width="16.08203125" customWidth="1"/>
    <col min="15896" max="15897" width="14" customWidth="1"/>
    <col min="15898" max="15898" width="9.58203125" customWidth="1"/>
    <col min="15899" max="15899" width="10.75" customWidth="1"/>
    <col min="15900" max="15900" width="9.58203125" customWidth="1"/>
    <col min="15901" max="15901" width="9.25" customWidth="1"/>
    <col min="15902" max="15902" width="9.33203125" customWidth="1"/>
    <col min="15903" max="15904" width="13.25" customWidth="1"/>
    <col min="15905" max="15905" width="8.25" bestFit="1" customWidth="1"/>
    <col min="15906" max="15906" width="10" customWidth="1"/>
    <col min="15908" max="15908" width="9.75" customWidth="1"/>
    <col min="15909" max="15909" width="9.33203125" customWidth="1"/>
    <col min="15910" max="15910" width="10.5" bestFit="1" customWidth="1"/>
    <col min="15917" max="15917" width="9.58203125" customWidth="1"/>
    <col min="15918" max="15918" width="14.75" customWidth="1"/>
    <col min="15919" max="15919" width="11.33203125" customWidth="1"/>
    <col min="15920" max="15920" width="9.83203125" customWidth="1"/>
    <col min="15921" max="15921" width="10.75" customWidth="1"/>
    <col min="15922" max="15922" width="10.08203125" bestFit="1" customWidth="1"/>
    <col min="15923" max="15923" width="12.5" customWidth="1"/>
    <col min="15924" max="15924" width="10.58203125" customWidth="1"/>
    <col min="15927" max="15927" width="15.75" customWidth="1"/>
    <col min="15928" max="15928" width="10" customWidth="1"/>
    <col min="15931" max="15931" width="8.83203125" customWidth="1"/>
    <col min="15932" max="15932" width="9.58203125" bestFit="1" customWidth="1"/>
    <col min="15933" max="15933" width="9.33203125" customWidth="1"/>
    <col min="15935" max="15935" width="7.25" customWidth="1"/>
    <col min="15936" max="15936" width="0" hidden="1" customWidth="1"/>
    <col min="15938" max="15938" width="9.33203125" customWidth="1"/>
    <col min="15939" max="15939" width="10.33203125" customWidth="1"/>
    <col min="15940" max="15940" width="15.83203125" customWidth="1"/>
    <col min="15942" max="15942" width="6.75" customWidth="1"/>
    <col min="16129" max="16129" width="0.33203125" customWidth="1"/>
    <col min="16130" max="16130" width="17.25" customWidth="1"/>
    <col min="16131" max="16131" width="13.33203125" customWidth="1"/>
    <col min="16132" max="16132" width="9.58203125" customWidth="1"/>
    <col min="16133" max="16133" width="13.33203125" customWidth="1"/>
    <col min="16134" max="16134" width="8.58203125" customWidth="1"/>
    <col min="16135" max="16135" width="15.58203125" customWidth="1"/>
    <col min="16136" max="16136" width="16.08203125" customWidth="1"/>
    <col min="16137" max="16137" width="12.5" customWidth="1"/>
    <col min="16138" max="16138" width="12.08203125" customWidth="1"/>
    <col min="16139" max="16139" width="18.08203125" customWidth="1"/>
    <col min="16140" max="16140" width="16.25" customWidth="1"/>
    <col min="16141" max="16142" width="12.83203125" customWidth="1"/>
    <col min="16143" max="16143" width="11.33203125" customWidth="1"/>
    <col min="16144" max="16144" width="11.75" customWidth="1"/>
    <col min="16145" max="16145" width="10.83203125" customWidth="1"/>
    <col min="16146" max="16146" width="16" customWidth="1"/>
    <col min="16147" max="16147" width="14.08203125" customWidth="1"/>
    <col min="16148" max="16148" width="11.75" customWidth="1"/>
    <col min="16149" max="16149" width="13.33203125" customWidth="1"/>
    <col min="16150" max="16150" width="21.58203125" customWidth="1"/>
    <col min="16151" max="16151" width="16.08203125" customWidth="1"/>
    <col min="16152" max="16153" width="14" customWidth="1"/>
    <col min="16154" max="16154" width="9.58203125" customWidth="1"/>
    <col min="16155" max="16155" width="10.75" customWidth="1"/>
    <col min="16156" max="16156" width="9.58203125" customWidth="1"/>
    <col min="16157" max="16157" width="9.25" customWidth="1"/>
    <col min="16158" max="16158" width="9.33203125" customWidth="1"/>
    <col min="16159" max="16160" width="13.25" customWidth="1"/>
    <col min="16161" max="16161" width="8.25" bestFit="1" customWidth="1"/>
    <col min="16162" max="16162" width="10" customWidth="1"/>
    <col min="16164" max="16164" width="9.75" customWidth="1"/>
    <col min="16165" max="16165" width="9.33203125" customWidth="1"/>
    <col min="16166" max="16166" width="10.5" bestFit="1" customWidth="1"/>
    <col min="16173" max="16173" width="9.58203125" customWidth="1"/>
    <col min="16174" max="16174" width="14.75" customWidth="1"/>
    <col min="16175" max="16175" width="11.33203125" customWidth="1"/>
    <col min="16176" max="16176" width="9.83203125" customWidth="1"/>
    <col min="16177" max="16177" width="10.75" customWidth="1"/>
    <col min="16178" max="16178" width="10.08203125" bestFit="1" customWidth="1"/>
    <col min="16179" max="16179" width="12.5" customWidth="1"/>
    <col min="16180" max="16180" width="10.58203125" customWidth="1"/>
    <col min="16183" max="16183" width="15.75" customWidth="1"/>
    <col min="16184" max="16184" width="10" customWidth="1"/>
    <col min="16187" max="16187" width="8.83203125" customWidth="1"/>
    <col min="16188" max="16188" width="9.58203125" bestFit="1" customWidth="1"/>
    <col min="16189" max="16189" width="9.33203125" customWidth="1"/>
    <col min="16191" max="16191" width="7.25" customWidth="1"/>
    <col min="16192" max="16192" width="0" hidden="1" customWidth="1"/>
    <col min="16194" max="16194" width="9.33203125" customWidth="1"/>
    <col min="16195" max="16195" width="10.33203125" customWidth="1"/>
    <col min="16196" max="16196" width="15.83203125" customWidth="1"/>
    <col min="16198" max="16198" width="6.75" customWidth="1"/>
  </cols>
  <sheetData>
    <row r="1" spans="1:124" ht="15" thickTop="1" thickBot="1" x14ac:dyDescent="0.35">
      <c r="B1" s="22" t="s">
        <v>52</v>
      </c>
      <c r="C1" s="23"/>
      <c r="D1" s="24"/>
      <c r="E1" s="24"/>
      <c r="F1" s="25"/>
      <c r="G1" s="26"/>
      <c r="H1" s="26" t="s">
        <v>53</v>
      </c>
      <c r="I1" s="26"/>
      <c r="J1" s="26"/>
      <c r="K1" s="26"/>
      <c r="L1" s="26"/>
      <c r="M1" s="26"/>
      <c r="N1" s="26"/>
      <c r="O1" s="26"/>
      <c r="P1" s="26" t="e">
        <f>N82</f>
        <v>#N/A</v>
      </c>
      <c r="Q1" s="26" t="e">
        <f>VLOOKUP($I$32,K157:L173,2)</f>
        <v>#N/A</v>
      </c>
      <c r="R1" s="26" t="s">
        <v>54</v>
      </c>
      <c r="S1" s="26">
        <f>ROUND((J4-AQ17)/365.25,2)</f>
        <v>-110.72</v>
      </c>
      <c r="T1" s="26"/>
      <c r="U1" s="26"/>
      <c r="V1" s="26"/>
      <c r="W1" s="26" t="s">
        <v>55</v>
      </c>
      <c r="X1" s="26">
        <f>IF(BG60-INT(BG60)=0.5,1,0)</f>
        <v>0</v>
      </c>
      <c r="Y1" s="26">
        <f>IF(X1=0,0,IF(BG60&lt;=7,3.75,4.25))</f>
        <v>0</v>
      </c>
      <c r="Z1" s="26"/>
      <c r="AA1" s="26" t="s">
        <v>56</v>
      </c>
      <c r="AB1" s="26"/>
      <c r="AC1" s="26"/>
      <c r="AD1" s="26"/>
      <c r="AE1" s="26"/>
      <c r="AF1" s="26"/>
      <c r="AG1" s="26"/>
      <c r="AH1" s="26"/>
      <c r="AI1" s="26"/>
      <c r="AJ1" s="26"/>
      <c r="AK1" s="26"/>
      <c r="AL1" s="26"/>
      <c r="AM1" s="26"/>
      <c r="AN1" s="26" t="s">
        <v>57</v>
      </c>
      <c r="AO1" s="26"/>
      <c r="AP1" s="26"/>
      <c r="AQ1" s="26"/>
      <c r="AR1" s="26"/>
      <c r="AS1" s="26"/>
      <c r="AT1" s="26"/>
      <c r="AU1" s="26"/>
      <c r="AV1" s="26"/>
      <c r="AW1" s="26"/>
      <c r="AX1" s="26"/>
      <c r="AY1" s="26"/>
      <c r="AZ1" s="26"/>
      <c r="BA1" s="26" t="s">
        <v>58</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6.5" thickTop="1" thickBot="1" x14ac:dyDescent="0.4">
      <c r="B2" s="27" t="s">
        <v>59</v>
      </c>
      <c r="C2" s="28" t="s">
        <v>60</v>
      </c>
      <c r="D2" s="29"/>
      <c r="E2" s="29"/>
      <c r="F2" s="30" t="s">
        <v>609</v>
      </c>
      <c r="G2" s="26"/>
      <c r="H2" s="26"/>
      <c r="I2" s="26"/>
      <c r="J2" s="26"/>
      <c r="K2" s="26"/>
      <c r="L2" s="26"/>
      <c r="M2" s="26" t="s">
        <v>62</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63</v>
      </c>
      <c r="U2" s="26" t="s">
        <v>27</v>
      </c>
      <c r="V2" s="26"/>
      <c r="W2" s="26" t="s">
        <v>64</v>
      </c>
      <c r="X2" s="26">
        <v>0.03</v>
      </c>
      <c r="Y2" s="26">
        <f>1+(Y1/100)</f>
        <v>1</v>
      </c>
      <c r="Z2" s="26"/>
      <c r="AA2" s="26">
        <v>0</v>
      </c>
      <c r="AB2" s="26">
        <v>0</v>
      </c>
      <c r="AC2" s="26"/>
      <c r="AD2" s="26" t="s">
        <v>65</v>
      </c>
      <c r="AE2" s="26"/>
      <c r="AF2" s="26"/>
      <c r="AG2" s="26"/>
      <c r="AH2" s="26"/>
      <c r="AI2" s="26"/>
      <c r="AJ2" s="26"/>
      <c r="AK2" s="26"/>
      <c r="AL2" s="26"/>
      <c r="AM2" s="26"/>
      <c r="AN2" s="26" t="s">
        <v>66</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 thickTop="1" thickBot="1" x14ac:dyDescent="0.35">
      <c r="B3" s="26"/>
      <c r="C3" s="26"/>
      <c r="D3" s="26"/>
      <c r="E3" s="26"/>
      <c r="F3" s="26"/>
      <c r="G3" s="26" t="str">
        <f>IF(OR($C$5=$CB$16,$C$5=$CC$16,$C$5=CD16),$S$723,IF($C$5=CE16,$S$724,IF($C$5=CF16,$S$725,S726)))</f>
        <v>מנהל אקדמאי קיים</v>
      </c>
      <c r="H3" s="26"/>
      <c r="I3" s="26"/>
      <c r="J3" s="26"/>
      <c r="K3" s="26"/>
      <c r="L3" s="26"/>
      <c r="M3" s="26" t="s">
        <v>67</v>
      </c>
      <c r="N3" s="26">
        <f>J32</f>
        <v>0</v>
      </c>
      <c r="O3" s="26"/>
      <c r="P3" s="26" t="s">
        <v>68</v>
      </c>
      <c r="Q3" s="26" t="s">
        <v>69</v>
      </c>
      <c r="R3" s="26"/>
      <c r="S3" s="26"/>
      <c r="T3" s="26" t="s">
        <v>70</v>
      </c>
      <c r="U3" s="26" t="s">
        <v>71</v>
      </c>
      <c r="V3" s="26"/>
      <c r="W3" s="26" t="s">
        <v>72</v>
      </c>
      <c r="X3" s="26">
        <v>4.8099999999999997E-2</v>
      </c>
      <c r="Y3" s="26"/>
      <c r="Z3" s="26"/>
      <c r="AA3" s="26">
        <v>1</v>
      </c>
      <c r="AB3" s="26">
        <v>0.47499999999999998</v>
      </c>
      <c r="AC3" s="26" t="s">
        <v>59</v>
      </c>
      <c r="AD3" s="26">
        <v>0.09</v>
      </c>
      <c r="AE3" s="26" t="s">
        <v>73</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5">
      <c r="B4" s="31" t="s">
        <v>610</v>
      </c>
      <c r="C4" s="32"/>
      <c r="D4" s="33" t="s">
        <v>74</v>
      </c>
      <c r="E4" s="33"/>
      <c r="F4" s="33"/>
      <c r="G4" s="26"/>
      <c r="H4" s="26"/>
      <c r="I4" s="26"/>
      <c r="J4" s="26"/>
      <c r="K4" s="26"/>
      <c r="L4" s="26"/>
      <c r="M4" s="26"/>
      <c r="N4" s="26"/>
      <c r="O4" s="26"/>
      <c r="P4" s="26">
        <f>VLOOKUP(INT(1),horaa2,$AJ$8+2,FALSE)*$AB$44</f>
        <v>2967.49</v>
      </c>
      <c r="Q4" s="26"/>
      <c r="R4" s="26"/>
      <c r="S4" s="26"/>
      <c r="T4" s="26" t="s">
        <v>75</v>
      </c>
      <c r="U4" s="26" t="s">
        <v>76</v>
      </c>
      <c r="V4" s="26"/>
      <c r="W4" s="26"/>
      <c r="X4" s="26"/>
      <c r="Y4" s="26"/>
      <c r="Z4" s="26"/>
      <c r="AA4" s="26">
        <v>2</v>
      </c>
      <c r="AB4" s="26">
        <v>0.495</v>
      </c>
      <c r="AC4" s="26" t="s">
        <v>59</v>
      </c>
      <c r="AD4" s="26">
        <v>8.2500000000000004E-2</v>
      </c>
      <c r="AE4" s="26" t="s">
        <v>77</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3">
      <c r="B5" s="34" t="s">
        <v>0</v>
      </c>
      <c r="C5" s="35" t="s">
        <v>1</v>
      </c>
      <c r="D5" s="36" t="s">
        <v>24</v>
      </c>
      <c r="E5" s="37"/>
      <c r="F5" s="26"/>
      <c r="G5" s="26"/>
      <c r="H5" s="26"/>
      <c r="I5" s="26"/>
      <c r="J5" s="26"/>
      <c r="K5" s="26"/>
      <c r="L5" s="26"/>
      <c r="M5" s="26" t="s">
        <v>78</v>
      </c>
      <c r="N5" s="26"/>
      <c r="O5" s="26"/>
      <c r="P5" s="26" t="s">
        <v>79</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59</v>
      </c>
      <c r="AD5" s="26">
        <v>7.4999999999999997E-2</v>
      </c>
      <c r="AE5" s="26" t="s">
        <v>80</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3">
      <c r="B6" s="34" t="s">
        <v>2</v>
      </c>
      <c r="C6" s="39">
        <v>0</v>
      </c>
      <c r="D6" s="36" t="s">
        <v>81</v>
      </c>
      <c r="E6" s="37"/>
      <c r="F6" s="40"/>
      <c r="G6" s="26"/>
      <c r="H6" s="26"/>
      <c r="I6" s="26"/>
      <c r="J6" s="26"/>
      <c r="K6" s="26"/>
      <c r="L6" s="26"/>
      <c r="M6" s="26"/>
      <c r="N6" s="26" t="s">
        <v>82</v>
      </c>
      <c r="O6" s="26" t="s">
        <v>83</v>
      </c>
      <c r="P6" s="26">
        <f>P4*C9</f>
        <v>0</v>
      </c>
      <c r="Q6" s="26"/>
      <c r="R6" s="26"/>
      <c r="S6" s="26"/>
      <c r="T6" s="26"/>
      <c r="U6" s="26"/>
      <c r="V6" s="26"/>
      <c r="W6" s="26"/>
      <c r="X6" s="26" t="s">
        <v>84</v>
      </c>
      <c r="Y6" s="26"/>
      <c r="Z6" s="26"/>
      <c r="AA6" s="26">
        <v>4</v>
      </c>
      <c r="AB6" s="26">
        <v>0.53</v>
      </c>
      <c r="AC6" s="26" t="s">
        <v>59</v>
      </c>
      <c r="AD6" s="26">
        <v>6.7500000000000004E-2</v>
      </c>
      <c r="AE6" s="26" t="s">
        <v>85</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3">
      <c r="B7" s="41" t="s">
        <v>4</v>
      </c>
      <c r="C7" s="189">
        <f>IF(C5=CD16,8.75,IF(C5=CC16,8.75,0))</f>
        <v>8.75</v>
      </c>
      <c r="D7" s="40" t="s">
        <v>86</v>
      </c>
      <c r="E7" s="38"/>
      <c r="F7" s="26"/>
      <c r="G7" s="26"/>
      <c r="H7" s="26"/>
      <c r="I7" s="26"/>
      <c r="J7" s="26"/>
      <c r="K7" s="26"/>
      <c r="L7" s="26"/>
      <c r="M7" s="26" t="s">
        <v>87</v>
      </c>
      <c r="N7" s="26">
        <f>I32</f>
        <v>0</v>
      </c>
      <c r="O7" s="26">
        <f>N7*C9</f>
        <v>0</v>
      </c>
      <c r="P7" s="26" t="s">
        <v>87</v>
      </c>
      <c r="Q7" s="26" t="e">
        <f>IF(BG61+BG62+H153&gt;=AO40,'[1]נתוני מס'!I16*Q26,0)</f>
        <v>#REF!</v>
      </c>
      <c r="R7" s="26"/>
      <c r="S7" s="26" t="s">
        <v>88</v>
      </c>
      <c r="T7" s="26">
        <f>ROUND((J4-AQ20)/365.25,2)</f>
        <v>-58.21</v>
      </c>
      <c r="U7" s="26" t="s">
        <v>89</v>
      </c>
      <c r="V7" s="26">
        <f>ROUND((AK25-AQ17)/365.25,2)</f>
        <v>0.36</v>
      </c>
      <c r="W7" s="26"/>
      <c r="X7" s="26" t="s">
        <v>6</v>
      </c>
      <c r="Y7" s="26"/>
      <c r="Z7" s="26"/>
      <c r="AA7" s="26">
        <v>5</v>
      </c>
      <c r="AB7" s="26">
        <v>0.54500000000000004</v>
      </c>
      <c r="AC7" s="26" t="s">
        <v>59</v>
      </c>
      <c r="AD7" s="26">
        <v>0.06</v>
      </c>
      <c r="AE7" s="26" t="s">
        <v>90</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3">
      <c r="B8" s="34" t="s">
        <v>91</v>
      </c>
      <c r="C8" s="42">
        <v>0</v>
      </c>
      <c r="D8" s="36" t="s">
        <v>92</v>
      </c>
      <c r="E8" s="37"/>
      <c r="F8" s="26"/>
      <c r="G8" s="26"/>
      <c r="H8" s="26"/>
      <c r="I8" s="26"/>
      <c r="J8" s="26"/>
      <c r="K8" s="26"/>
      <c r="L8" s="26"/>
      <c r="M8" s="26" t="s">
        <v>93</v>
      </c>
      <c r="N8" s="26">
        <f>IF(J29*N7&gt;0,J29*N7,0)</f>
        <v>0</v>
      </c>
      <c r="O8" s="26"/>
      <c r="P8" s="26" t="s">
        <v>94</v>
      </c>
      <c r="Q8" s="26">
        <f>IF(BG61&lt;26,'[1]נתוני מס'!I18*BC27,'[1]נתוני מס'!I19*BC27)</f>
        <v>2014</v>
      </c>
      <c r="R8" s="26"/>
      <c r="S8" s="26" t="s">
        <v>95</v>
      </c>
      <c r="T8" s="26" t="e">
        <f>IF(BG59=#REF!,59-T7,60-T7)</f>
        <v>#REF!</v>
      </c>
      <c r="U8" s="26" t="s">
        <v>96</v>
      </c>
      <c r="V8" s="26" t="e">
        <f>V7+T8</f>
        <v>#REF!</v>
      </c>
      <c r="W8" s="26"/>
      <c r="X8" s="26" t="s">
        <v>97</v>
      </c>
      <c r="Y8" s="26"/>
      <c r="Z8" s="26"/>
      <c r="AA8" s="26">
        <v>6</v>
      </c>
      <c r="AB8" s="26">
        <v>0.56499999999999995</v>
      </c>
      <c r="AC8" s="26" t="s">
        <v>59</v>
      </c>
      <c r="AD8" s="26">
        <v>5.2499999999999998E-2</v>
      </c>
      <c r="AE8" s="26" t="s">
        <v>98</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3">
      <c r="B9" s="34" t="s">
        <v>99</v>
      </c>
      <c r="C9" s="44">
        <v>0</v>
      </c>
      <c r="D9" s="206" t="s">
        <v>100</v>
      </c>
      <c r="E9" s="207"/>
      <c r="F9" s="26"/>
      <c r="G9" s="187" t="s">
        <v>607</v>
      </c>
      <c r="H9" s="26"/>
      <c r="I9" s="26"/>
      <c r="J9" s="26"/>
      <c r="K9" s="26"/>
      <c r="L9" s="26"/>
      <c r="M9" s="26" t="s">
        <v>101</v>
      </c>
      <c r="N9" s="26">
        <v>593</v>
      </c>
      <c r="O9" s="26"/>
      <c r="P9" s="26" t="s">
        <v>102</v>
      </c>
      <c r="Q9" s="26" t="e">
        <f>#REF!</f>
        <v>#REF!</v>
      </c>
      <c r="R9" s="26"/>
      <c r="S9" s="26" t="s">
        <v>103</v>
      </c>
      <c r="T9" s="26" t="e">
        <f>IF(AI28+T8&gt;36,36,AI28+T8)</f>
        <v>#REF!</v>
      </c>
      <c r="U9" s="26" t="s">
        <v>104</v>
      </c>
      <c r="V9" s="26">
        <f>F204</f>
        <v>6</v>
      </c>
      <c r="W9" s="26" t="s">
        <v>105</v>
      </c>
      <c r="X9" s="26" t="s">
        <v>106</v>
      </c>
      <c r="Y9" s="26"/>
      <c r="Z9" s="26"/>
      <c r="AA9" s="26">
        <v>7</v>
      </c>
      <c r="AB9" s="26">
        <v>0.58499999999999996</v>
      </c>
      <c r="AC9" s="26" t="s">
        <v>59</v>
      </c>
      <c r="AD9" s="26">
        <v>4.4999999999999998E-2</v>
      </c>
      <c r="AE9" s="26" t="s">
        <v>107</v>
      </c>
      <c r="AF9" s="26"/>
      <c r="AG9" s="26"/>
      <c r="AH9" s="26"/>
      <c r="AI9" s="26"/>
      <c r="AJ9" s="26"/>
      <c r="AK9" s="26"/>
      <c r="AL9" s="26"/>
      <c r="AM9" s="26"/>
      <c r="AN9" s="26">
        <v>4</v>
      </c>
      <c r="AO9" s="26" t="s">
        <v>59</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108</v>
      </c>
      <c r="DB9" s="26" t="s">
        <v>109</v>
      </c>
      <c r="DC9" s="26"/>
      <c r="DD9" s="26"/>
      <c r="DE9" s="26" t="s">
        <v>108</v>
      </c>
      <c r="DF9" s="26" t="s">
        <v>109</v>
      </c>
      <c r="DG9" s="26"/>
      <c r="DH9" s="26"/>
      <c r="DI9" s="26"/>
      <c r="DJ9" s="26"/>
      <c r="DK9" s="26"/>
      <c r="DL9" s="26"/>
      <c r="DM9" s="26"/>
      <c r="DN9" s="26"/>
      <c r="DO9" s="26"/>
      <c r="DP9" s="26"/>
      <c r="DQ9" s="26"/>
      <c r="DR9" s="26"/>
      <c r="DS9" s="26"/>
      <c r="DT9" s="26"/>
    </row>
    <row r="10" spans="1:124" ht="15.75" customHeight="1" x14ac:dyDescent="0.3">
      <c r="B10" s="41" t="s">
        <v>110</v>
      </c>
      <c r="C10" s="188">
        <f>F14</f>
        <v>0</v>
      </c>
      <c r="D10" s="45" t="s">
        <v>111</v>
      </c>
      <c r="E10" s="38"/>
      <c r="F10" s="26"/>
      <c r="G10" s="26"/>
      <c r="H10" s="186">
        <v>0</v>
      </c>
      <c r="I10" s="26"/>
      <c r="J10" s="26"/>
      <c r="K10" s="26"/>
      <c r="L10" s="26"/>
      <c r="M10" s="26" t="s">
        <v>6</v>
      </c>
      <c r="N10" s="26">
        <f>N7*C14</f>
        <v>0</v>
      </c>
      <c r="O10" s="26"/>
      <c r="P10" s="26" t="s">
        <v>87</v>
      </c>
      <c r="Q10" s="26" t="e">
        <f>G201</f>
        <v>#REF!</v>
      </c>
      <c r="R10" s="26">
        <f>VLOOKUP(INT(AB42),horaa2,AJ17+2,FALSE)*(1)*BC27</f>
        <v>6975.17</v>
      </c>
      <c r="S10" s="26" t="s">
        <v>113</v>
      </c>
      <c r="T10" s="26" t="e">
        <f>VLOOKUP(INT(T9),ofek4,V9+2,FALSE)*(1+AG36/100)*BC27*Y16*Y2</f>
        <v>#REF!</v>
      </c>
      <c r="U10" s="26" t="e">
        <f>VLOOKUP(INT(T9),ofek4,V9+2,FALSE)*(1+AG36/100)*BC27*Y16*Y2</f>
        <v>#REF!</v>
      </c>
      <c r="V10" s="26"/>
      <c r="W10" s="26"/>
      <c r="X10" s="26" t="s">
        <v>114</v>
      </c>
      <c r="Y10" s="26"/>
      <c r="Z10" s="26"/>
      <c r="AA10" s="26">
        <v>8</v>
      </c>
      <c r="AB10" s="26">
        <v>0.6</v>
      </c>
      <c r="AC10" s="26"/>
      <c r="AD10" s="26">
        <v>0</v>
      </c>
      <c r="AE10" s="26" t="s">
        <v>115</v>
      </c>
      <c r="AF10" s="26"/>
      <c r="AG10" s="26"/>
      <c r="AH10" s="26"/>
      <c r="AI10" s="26"/>
      <c r="AJ10" s="26"/>
      <c r="AK10" s="26"/>
      <c r="AL10" s="26"/>
      <c r="AM10" s="26"/>
      <c r="AN10" s="26">
        <v>4.5</v>
      </c>
      <c r="AO10" s="26" t="s">
        <v>59</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116</v>
      </c>
      <c r="CX10" s="26"/>
      <c r="CY10" s="26"/>
      <c r="CZ10" s="26"/>
      <c r="DA10" s="26"/>
      <c r="DB10" s="26"/>
      <c r="DC10" s="26"/>
      <c r="DD10" s="26"/>
      <c r="DE10" s="26"/>
      <c r="DF10" s="26"/>
      <c r="DG10" s="26"/>
      <c r="DH10" s="26"/>
      <c r="DI10" s="26"/>
      <c r="DJ10" s="26"/>
      <c r="DK10" s="26" t="s">
        <v>117</v>
      </c>
      <c r="DL10" s="26"/>
      <c r="DM10" s="26"/>
      <c r="DN10" s="26"/>
      <c r="DO10" s="26"/>
      <c r="DP10" s="26"/>
      <c r="DQ10" s="26"/>
      <c r="DR10" s="26"/>
      <c r="DS10" s="26"/>
      <c r="DT10" s="26"/>
    </row>
    <row r="11" spans="1:124" x14ac:dyDescent="0.3">
      <c r="B11" s="46" t="s">
        <v>32</v>
      </c>
      <c r="C11" s="47">
        <v>0</v>
      </c>
      <c r="D11" s="206" t="s">
        <v>118</v>
      </c>
      <c r="E11" s="207"/>
      <c r="F11" s="26"/>
      <c r="G11" s="187"/>
      <c r="H11" s="26"/>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59</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120</v>
      </c>
      <c r="CR11" s="26"/>
      <c r="CS11" s="26"/>
      <c r="CT11" s="26"/>
      <c r="CU11" s="26"/>
      <c r="CV11" s="26" t="s">
        <v>121</v>
      </c>
      <c r="CW11" s="26" t="s">
        <v>122</v>
      </c>
      <c r="CX11" s="26" t="s">
        <v>123</v>
      </c>
      <c r="CY11" s="26"/>
      <c r="CZ11" s="26" t="s">
        <v>121</v>
      </c>
      <c r="DA11" s="26" t="s">
        <v>122</v>
      </c>
      <c r="DB11" s="26" t="s">
        <v>122</v>
      </c>
      <c r="DC11" s="26"/>
      <c r="DD11" s="26" t="s">
        <v>121</v>
      </c>
      <c r="DE11" s="26" t="s">
        <v>124</v>
      </c>
      <c r="DF11" s="26" t="s">
        <v>124</v>
      </c>
      <c r="DG11" s="26"/>
      <c r="DH11" s="26"/>
      <c r="DI11" s="26"/>
      <c r="DJ11" s="26"/>
      <c r="DK11" s="26" t="s">
        <v>124</v>
      </c>
      <c r="DL11" s="26" t="s">
        <v>122</v>
      </c>
      <c r="DM11" s="26"/>
      <c r="DN11" s="26"/>
      <c r="DO11" s="26"/>
      <c r="DP11" s="26"/>
      <c r="DQ11" s="26"/>
      <c r="DR11" s="26"/>
      <c r="DS11" s="26"/>
      <c r="DT11" s="26"/>
    </row>
    <row r="12" spans="1:124" x14ac:dyDescent="0.3">
      <c r="B12" s="46" t="s">
        <v>3</v>
      </c>
      <c r="C12" s="47">
        <v>0</v>
      </c>
      <c r="D12" s="206" t="s">
        <v>118</v>
      </c>
      <c r="E12" s="207"/>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59</v>
      </c>
      <c r="Z12" s="26"/>
      <c r="AA12" s="26">
        <v>1</v>
      </c>
      <c r="AB12" s="26">
        <v>0.63500000000000001</v>
      </c>
      <c r="AC12" s="26"/>
      <c r="AD12" s="26"/>
      <c r="AE12" s="26"/>
      <c r="AF12" s="26"/>
      <c r="AG12" s="26"/>
      <c r="AH12" s="26"/>
      <c r="AI12" s="26"/>
      <c r="AJ12" s="26"/>
      <c r="AK12" s="26"/>
      <c r="AL12" s="26"/>
      <c r="AM12" s="26"/>
      <c r="AN12" s="26">
        <v>5.5</v>
      </c>
      <c r="AO12" s="26" t="s">
        <v>59</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125</v>
      </c>
      <c r="CA12" s="26" t="s">
        <v>126</v>
      </c>
      <c r="CB12" s="26" t="s">
        <v>10</v>
      </c>
      <c r="CC12" s="26" t="s">
        <v>11</v>
      </c>
      <c r="CD12" s="26" t="s">
        <v>1</v>
      </c>
      <c r="CE12" s="26"/>
      <c r="CF12" s="26"/>
      <c r="CG12" s="26"/>
      <c r="CH12" s="26"/>
      <c r="CI12" s="26"/>
      <c r="CJ12" s="26"/>
      <c r="CK12" s="26"/>
      <c r="CL12" s="26"/>
      <c r="CM12" s="26"/>
      <c r="CN12" s="26"/>
      <c r="CO12" s="26"/>
      <c r="CP12" s="26"/>
      <c r="CQ12" s="26" t="s">
        <v>127</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124</v>
      </c>
      <c r="DI12" s="26"/>
      <c r="DJ12" s="26"/>
      <c r="DK12" s="26"/>
      <c r="DL12" s="26">
        <v>17.899999999999999</v>
      </c>
      <c r="DM12" s="26"/>
      <c r="DN12" s="26"/>
      <c r="DO12" s="26"/>
      <c r="DP12" s="26"/>
      <c r="DQ12" s="26"/>
      <c r="DR12" s="26"/>
      <c r="DS12" s="26"/>
      <c r="DT12" s="26"/>
    </row>
    <row r="13" spans="1:124" x14ac:dyDescent="0.3">
      <c r="A13" s="48"/>
      <c r="B13" s="46" t="s">
        <v>5</v>
      </c>
      <c r="C13" s="47">
        <v>0</v>
      </c>
      <c r="D13" s="206" t="s">
        <v>118</v>
      </c>
      <c r="E13" s="207"/>
      <c r="F13" s="26"/>
      <c r="G13" s="26"/>
      <c r="H13" s="26"/>
      <c r="I13" s="26"/>
      <c r="J13" s="26"/>
      <c r="K13" s="26" t="e">
        <f>($I$7+$I$8+#REF!+$I$11+#REF!+500)*1.2%*($C$7)*C9</f>
        <v>#REF!</v>
      </c>
      <c r="L13" s="26" t="s">
        <v>129</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130</v>
      </c>
      <c r="Y13" s="26">
        <v>0.05</v>
      </c>
      <c r="Z13" s="26"/>
      <c r="AA13" s="26">
        <v>11</v>
      </c>
      <c r="AB13" s="26">
        <v>0.66</v>
      </c>
      <c r="AC13" s="26"/>
      <c r="AD13" s="26" t="s">
        <v>131</v>
      </c>
      <c r="AE13" s="26">
        <v>0</v>
      </c>
      <c r="AF13" s="26"/>
      <c r="AG13" s="26"/>
      <c r="AH13" s="26"/>
      <c r="AI13" s="26"/>
      <c r="AJ13" s="26"/>
      <c r="AK13" s="26"/>
      <c r="AL13" s="26"/>
      <c r="AM13" s="26"/>
      <c r="AN13" s="26">
        <v>6</v>
      </c>
      <c r="AO13" s="26" t="s">
        <v>59</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132</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3">
      <c r="B14" s="46" t="s">
        <v>6</v>
      </c>
      <c r="C14" s="47">
        <v>0</v>
      </c>
      <c r="D14" s="206" t="s">
        <v>133</v>
      </c>
      <c r="E14" s="207"/>
      <c r="F14" s="26">
        <f>F16*(F15+1)</f>
        <v>0</v>
      </c>
      <c r="G14" s="26"/>
      <c r="H14" s="26"/>
      <c r="I14" s="26"/>
      <c r="J14" s="26"/>
      <c r="K14" s="26" t="e">
        <f>($I$7+$I$8+#REF!+$I$11+#REF!+500)*1.2%*($C$8)*C9</f>
        <v>#REF!</v>
      </c>
      <c r="L14" s="26" t="s">
        <v>134</v>
      </c>
      <c r="M14" s="26"/>
      <c r="N14" s="26"/>
      <c r="O14" s="26"/>
      <c r="P14" s="26" t="str">
        <f>IF(C151=0," = הזן  נתונים  מימין ==&gt;",B151)</f>
        <v>הסכם 87</v>
      </c>
      <c r="Q14" s="26">
        <v>0</v>
      </c>
      <c r="R14" s="26">
        <f>Q14</f>
        <v>0</v>
      </c>
      <c r="S14" s="26">
        <f>H12</f>
        <v>0</v>
      </c>
      <c r="T14" s="26">
        <v>0</v>
      </c>
      <c r="U14" s="26"/>
      <c r="V14" s="26"/>
      <c r="W14" s="26"/>
      <c r="X14" s="26" t="s">
        <v>135</v>
      </c>
      <c r="Y14" s="26">
        <v>0.10249999999999999</v>
      </c>
      <c r="Z14" s="26"/>
      <c r="AA14" s="26">
        <v>12</v>
      </c>
      <c r="AB14" s="26">
        <v>0.68</v>
      </c>
      <c r="AC14" s="26"/>
      <c r="AD14" s="26" t="s">
        <v>136</v>
      </c>
      <c r="AE14" s="26">
        <f>AB44</f>
        <v>1</v>
      </c>
      <c r="AF14" s="26"/>
      <c r="AG14" s="26"/>
      <c r="AH14" s="26">
        <v>5</v>
      </c>
      <c r="AI14" s="26"/>
      <c r="AJ14" s="26" t="s">
        <v>137</v>
      </c>
      <c r="AK14" s="26"/>
      <c r="AL14" s="26" t="e">
        <f>#REF!</f>
        <v>#REF!</v>
      </c>
      <c r="AM14" s="26"/>
      <c r="AN14" s="26">
        <v>6.5</v>
      </c>
      <c r="AO14" s="26" t="s">
        <v>59</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138</v>
      </c>
      <c r="CA14" s="26" t="s">
        <v>139</v>
      </c>
      <c r="CB14" s="26" t="s">
        <v>140</v>
      </c>
      <c r="CC14" s="26"/>
      <c r="CD14" s="26"/>
      <c r="CE14" s="26"/>
      <c r="CF14" s="26"/>
      <c r="CG14" s="26" t="s">
        <v>141</v>
      </c>
      <c r="CH14" s="26"/>
      <c r="CI14" s="26"/>
      <c r="CJ14" s="26"/>
      <c r="CK14" s="26" t="s">
        <v>142</v>
      </c>
      <c r="CL14" s="26"/>
      <c r="CM14" s="26"/>
      <c r="CN14" s="26"/>
      <c r="CO14" s="26"/>
      <c r="CP14" s="26"/>
      <c r="CQ14" s="26" t="s">
        <v>143</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3">
      <c r="B15" s="46" t="s">
        <v>144</v>
      </c>
      <c r="C15" s="49">
        <v>0</v>
      </c>
      <c r="D15" s="206" t="s">
        <v>145</v>
      </c>
      <c r="E15" s="207">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59</v>
      </c>
      <c r="AV15" s="26">
        <f>BG61+BG62</f>
        <v>33</v>
      </c>
      <c r="AW15" s="26">
        <f>IF(AW16=0,0,1)</f>
        <v>1</v>
      </c>
      <c r="AX15" s="26"/>
      <c r="AY15" s="26"/>
      <c r="AZ15" s="26" t="s">
        <v>59</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146</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147</v>
      </c>
      <c r="DM15" s="26"/>
      <c r="DN15" s="26"/>
      <c r="DO15" s="26"/>
      <c r="DP15" s="26"/>
      <c r="DQ15" s="26"/>
      <c r="DR15" s="26"/>
      <c r="DS15" s="26"/>
      <c r="DT15" s="26"/>
    </row>
    <row r="16" spans="1:124" ht="18.75" customHeight="1" x14ac:dyDescent="0.3">
      <c r="B16" s="34" t="s">
        <v>148</v>
      </c>
      <c r="C16" s="39">
        <v>1</v>
      </c>
      <c r="D16" s="206" t="s">
        <v>149</v>
      </c>
      <c r="E16" s="207"/>
      <c r="F16" s="26">
        <f>IF(C19=F18,VLOOKUP(C17,DD11:DF31,2,TRUE)*0.01,VLOOKUP(C17,DD11:DF31,3,TRUE)*0.01)</f>
        <v>0</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151</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59</v>
      </c>
      <c r="BA16" s="26">
        <v>14</v>
      </c>
      <c r="BB16" s="26">
        <v>0.312</v>
      </c>
      <c r="BC16" s="26"/>
      <c r="BD16" s="26"/>
      <c r="BE16" s="26"/>
      <c r="BF16" s="26"/>
      <c r="BG16" s="26"/>
      <c r="BH16" s="26"/>
      <c r="BI16" s="26"/>
      <c r="BJ16" s="26"/>
      <c r="BK16" s="26" t="s">
        <v>152</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153</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154</v>
      </c>
      <c r="DM16" s="26"/>
      <c r="DN16" s="26"/>
      <c r="DO16" s="26"/>
      <c r="DP16" s="26"/>
      <c r="DQ16" s="26"/>
      <c r="DR16" s="26"/>
      <c r="DS16" s="26"/>
      <c r="DT16" s="26"/>
    </row>
    <row r="17" spans="2:124" x14ac:dyDescent="0.3">
      <c r="B17" s="41" t="str">
        <f>IF(C19=F18,"כיתות רגילות","כיתות חינוך מיוחד")</f>
        <v>כיתות רגילות</v>
      </c>
      <c r="C17" s="190">
        <f>IF(C19=F18,F25,F29)</f>
        <v>1</v>
      </c>
      <c r="D17" s="40" t="s">
        <v>155</v>
      </c>
      <c r="E17" s="38"/>
      <c r="F17" s="26"/>
      <c r="G17" s="26"/>
      <c r="H17" s="26"/>
      <c r="I17" s="26"/>
      <c r="J17" s="26"/>
      <c r="K17" s="26"/>
      <c r="L17" s="26"/>
      <c r="M17" s="26"/>
      <c r="N17" s="26"/>
      <c r="O17" s="26"/>
      <c r="P17" s="26" t="s">
        <v>156</v>
      </c>
      <c r="Q17" s="26">
        <v>0</v>
      </c>
      <c r="R17" s="26">
        <f>R10*1.2%*C8</f>
        <v>0</v>
      </c>
      <c r="S17" s="26" t="s">
        <v>156</v>
      </c>
      <c r="T17" s="26">
        <v>0</v>
      </c>
      <c r="U17" s="26"/>
      <c r="V17" s="26"/>
      <c r="W17" s="26"/>
      <c r="X17" s="26"/>
      <c r="Y17" s="26"/>
      <c r="Z17" s="26"/>
      <c r="AA17" s="26" t="s">
        <v>157</v>
      </c>
      <c r="AB17" s="26" t="s">
        <v>71</v>
      </c>
      <c r="AC17" s="26"/>
      <c r="AD17" s="26"/>
      <c r="AE17" s="26"/>
      <c r="AF17" s="26"/>
      <c r="AG17" s="26"/>
      <c r="AH17" s="26">
        <v>67</v>
      </c>
      <c r="AI17" s="26">
        <f>IF(MONTH(J4)=9,1,0)</f>
        <v>0</v>
      </c>
      <c r="AJ17" s="26">
        <f>HLOOKUP(BG59,kothor1,3,FALSE)</f>
        <v>1</v>
      </c>
      <c r="AK17" s="26">
        <f>HLOOKUP(BG59,kothor1,2,FALSE)</f>
        <v>1</v>
      </c>
      <c r="AL17" s="26" t="s">
        <v>158</v>
      </c>
      <c r="AM17" s="26">
        <v>39844</v>
      </c>
      <c r="AN17" s="26">
        <v>8</v>
      </c>
      <c r="AO17" s="26">
        <v>8.5</v>
      </c>
      <c r="AP17" s="26" t="s">
        <v>159</v>
      </c>
      <c r="AQ17" s="26">
        <v>40442</v>
      </c>
      <c r="AR17" s="26"/>
      <c r="AS17" s="26"/>
      <c r="AT17" s="26"/>
      <c r="AU17" s="26" t="e">
        <f>"06/"&amp;MID(AV17,1,4)</f>
        <v>#NUM!</v>
      </c>
      <c r="AV17" s="26" t="e">
        <f>YEAR(AV16+J4)+AW15</f>
        <v>#NUM!</v>
      </c>
      <c r="AW17" s="26" t="s">
        <v>160</v>
      </c>
      <c r="AX17" s="26"/>
      <c r="AY17" s="26"/>
      <c r="AZ17" s="26"/>
      <c r="BA17" s="26">
        <v>15</v>
      </c>
      <c r="BB17" s="26">
        <v>0.33600000000000002</v>
      </c>
      <c r="BC17" s="26"/>
      <c r="BD17" s="26"/>
      <c r="BE17" s="26" t="s">
        <v>161</v>
      </c>
      <c r="BF17" s="26" t="s">
        <v>162</v>
      </c>
      <c r="BG17" s="26" t="s">
        <v>163</v>
      </c>
      <c r="BH17" s="26"/>
      <c r="BI17" s="26"/>
      <c r="BJ17" s="26"/>
      <c r="BK17" s="26" t="s">
        <v>164</v>
      </c>
      <c r="BL17" s="26">
        <f>F159</f>
        <v>0</v>
      </c>
      <c r="BM17" s="26"/>
      <c r="BN17" s="26"/>
      <c r="BO17" s="26"/>
      <c r="BP17" s="26"/>
      <c r="BQ17" s="26" t="s">
        <v>165</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166</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x14ac:dyDescent="0.3">
      <c r="B18" s="41" t="s">
        <v>167</v>
      </c>
      <c r="C18" s="190">
        <f>K66</f>
        <v>1</v>
      </c>
      <c r="D18" s="208" t="s">
        <v>155</v>
      </c>
      <c r="E18" s="209"/>
      <c r="F18" s="26" t="s">
        <v>108</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0</v>
      </c>
      <c r="X18" s="26"/>
      <c r="Y18" s="26"/>
      <c r="Z18" s="26"/>
      <c r="AA18" s="26"/>
      <c r="AB18" s="26"/>
      <c r="AC18" s="26"/>
      <c r="AD18" s="26" t="s">
        <v>59</v>
      </c>
      <c r="AE18" s="26"/>
      <c r="AF18" s="26" t="e">
        <f>1-#REF!/(#REF!+#REF!)</f>
        <v>#REF!</v>
      </c>
      <c r="AG18" s="26"/>
      <c r="AH18" s="26"/>
      <c r="AI18" s="26"/>
      <c r="AJ18" s="26"/>
      <c r="AK18" s="26"/>
      <c r="AL18" s="26" t="s">
        <v>168</v>
      </c>
      <c r="AM18" s="26">
        <v>39872</v>
      </c>
      <c r="AN18" s="26">
        <v>8.5</v>
      </c>
      <c r="AO18" s="26">
        <v>9</v>
      </c>
      <c r="AP18" s="26"/>
      <c r="AQ18" s="26"/>
      <c r="AR18" s="26"/>
      <c r="AS18" s="26" t="s">
        <v>169</v>
      </c>
      <c r="AT18" s="26"/>
      <c r="AU18" s="26"/>
      <c r="AV18" s="26"/>
      <c r="AW18" s="26"/>
      <c r="AX18" s="26"/>
      <c r="AY18" s="26" t="s">
        <v>170</v>
      </c>
      <c r="AZ18" s="26"/>
      <c r="BA18" s="26">
        <v>16</v>
      </c>
      <c r="BB18" s="26">
        <v>0.36</v>
      </c>
      <c r="BC18" s="26"/>
      <c r="BD18" s="26"/>
      <c r="BE18" s="26" t="s">
        <v>171</v>
      </c>
      <c r="BF18" s="26" t="s">
        <v>171</v>
      </c>
      <c r="BG18" s="26" t="s">
        <v>172</v>
      </c>
      <c r="BH18" s="26" t="s">
        <v>173</v>
      </c>
      <c r="BI18" s="26" t="s">
        <v>174</v>
      </c>
      <c r="BJ18" s="26" t="s">
        <v>175</v>
      </c>
      <c r="BK18" s="26" t="s">
        <v>176</v>
      </c>
      <c r="BL18" s="26"/>
      <c r="BM18" s="26"/>
      <c r="BN18" s="26"/>
      <c r="BO18" s="26"/>
      <c r="BP18" s="26"/>
      <c r="BQ18" s="26">
        <v>1114297</v>
      </c>
      <c r="BR18" s="26"/>
      <c r="BS18" s="26" t="s">
        <v>177</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178</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179</v>
      </c>
      <c r="DM18" s="26"/>
      <c r="DN18" s="26"/>
      <c r="DO18" s="26"/>
      <c r="DP18" s="26"/>
      <c r="DQ18" s="26"/>
      <c r="DR18" s="26"/>
      <c r="DS18" s="26"/>
      <c r="DT18" s="26"/>
    </row>
    <row r="19" spans="2:124" x14ac:dyDescent="0.3">
      <c r="B19" s="34" t="s">
        <v>180</v>
      </c>
      <c r="C19" s="35" t="s">
        <v>108</v>
      </c>
      <c r="D19" s="206" t="s">
        <v>181</v>
      </c>
      <c r="E19" s="207"/>
      <c r="F19" s="26" t="s">
        <v>182</v>
      </c>
      <c r="G19" s="26" t="s">
        <v>183</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59</v>
      </c>
      <c r="W19" s="26">
        <v>1</v>
      </c>
      <c r="X19" s="26"/>
      <c r="Y19" s="26"/>
      <c r="Z19" s="26"/>
      <c r="AA19" s="26" t="s">
        <v>184</v>
      </c>
      <c r="AB19" s="26">
        <v>5</v>
      </c>
      <c r="AC19" s="26"/>
      <c r="AD19" s="26"/>
      <c r="AE19" s="26" t="s">
        <v>59</v>
      </c>
      <c r="AF19" s="26" t="s">
        <v>59</v>
      </c>
      <c r="AG19" s="26" t="s">
        <v>185</v>
      </c>
      <c r="AH19" s="26"/>
      <c r="AI19" s="26"/>
      <c r="AJ19" s="26"/>
      <c r="AK19" s="26"/>
      <c r="AL19" s="26" t="s">
        <v>186</v>
      </c>
      <c r="AM19" s="26">
        <v>39903</v>
      </c>
      <c r="AN19" s="26">
        <v>9</v>
      </c>
      <c r="AO19" s="26" t="s">
        <v>187</v>
      </c>
      <c r="AP19" s="26" t="s">
        <v>102</v>
      </c>
      <c r="AQ19" s="26" t="s">
        <v>188</v>
      </c>
      <c r="AR19" s="26">
        <f>'[1]נתוני מס'!I22</f>
        <v>395</v>
      </c>
      <c r="AS19" s="26">
        <v>10</v>
      </c>
      <c r="AT19" s="26"/>
      <c r="AU19" s="26" t="s">
        <v>189</v>
      </c>
      <c r="AV19" s="26"/>
      <c r="AW19" s="26"/>
      <c r="AX19" s="26"/>
      <c r="AY19" s="26">
        <f>AQ20</f>
        <v>21262</v>
      </c>
      <c r="AZ19" s="26" t="s">
        <v>190</v>
      </c>
      <c r="BA19" s="26" t="s">
        <v>191</v>
      </c>
      <c r="BB19" s="26">
        <f>VLOOKUP(BG69,nihool,2,FALSE)</f>
        <v>0</v>
      </c>
      <c r="BC19" s="26"/>
      <c r="BD19" s="26"/>
      <c r="BE19" s="26" t="s">
        <v>176</v>
      </c>
      <c r="BF19" s="26" t="s">
        <v>192</v>
      </c>
      <c r="BG19" s="26" t="e">
        <f>#REF!/12</f>
        <v>#REF!</v>
      </c>
      <c r="BH19" s="26" t="e">
        <f>#REF!</f>
        <v>#REF!</v>
      </c>
      <c r="BI19" s="26" t="e">
        <f>#REF!/12-BJ102</f>
        <v>#REF!</v>
      </c>
      <c r="BJ19" s="26" t="e">
        <f>(12*(F222-Q26)+BG77)/12</f>
        <v>#REF!</v>
      </c>
      <c r="BK19" s="26" t="e">
        <f>(#REF!*((12-BJ31/12))+BG77/12*BJ32)/12+F159+BJ20*((12-BJ32)/12)</f>
        <v>#REF!</v>
      </c>
      <c r="BL19" s="26"/>
      <c r="BM19" s="26"/>
      <c r="BN19" s="26" t="s">
        <v>193</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194</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3">
      <c r="B20" s="52"/>
      <c r="C20" s="35"/>
      <c r="D20" s="206"/>
      <c r="E20" s="207"/>
      <c r="F20" s="26"/>
      <c r="G20" s="26" t="s">
        <v>196</v>
      </c>
      <c r="H20" s="26"/>
      <c r="I20" s="26"/>
      <c r="J20" s="26"/>
      <c r="K20" s="26"/>
      <c r="L20" s="26"/>
      <c r="M20" s="26"/>
      <c r="N20" s="26"/>
      <c r="O20" s="26" t="e">
        <f>D155*C9</f>
        <v>#N/A</v>
      </c>
      <c r="P20" s="26" t="s">
        <v>101</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197</v>
      </c>
      <c r="AB20" s="26" t="s">
        <v>71</v>
      </c>
      <c r="AC20" s="26"/>
      <c r="AD20" s="26" t="s">
        <v>198</v>
      </c>
      <c r="AE20" s="26" t="s">
        <v>59</v>
      </c>
      <c r="AF20" s="26" t="s">
        <v>59</v>
      </c>
      <c r="AG20" s="26" t="s">
        <v>199</v>
      </c>
      <c r="AH20" s="26"/>
      <c r="AI20" s="26"/>
      <c r="AJ20" s="26" t="s">
        <v>200</v>
      </c>
      <c r="AK20" s="26"/>
      <c r="AL20" s="26" t="s">
        <v>201</v>
      </c>
      <c r="AM20" s="26">
        <v>39933</v>
      </c>
      <c r="AN20" s="26"/>
      <c r="AO20" s="26"/>
      <c r="AP20" s="26" t="s">
        <v>190</v>
      </c>
      <c r="AQ20" s="26">
        <v>21262</v>
      </c>
      <c r="AR20" s="26"/>
      <c r="AS20" s="26" t="s">
        <v>202</v>
      </c>
      <c r="AT20" s="26"/>
      <c r="AU20" s="26">
        <v>0</v>
      </c>
      <c r="AV20" s="26"/>
      <c r="AW20" s="26"/>
      <c r="AX20" s="26"/>
      <c r="AY20" s="26"/>
      <c r="AZ20" s="26"/>
      <c r="BA20" s="26" t="s">
        <v>203</v>
      </c>
      <c r="BB20" s="26">
        <f>VLOOKUP(B168,nihool,2,FALSE)</f>
        <v>0</v>
      </c>
      <c r="BC20" s="26"/>
      <c r="BD20" s="26"/>
      <c r="BE20" s="26" t="e">
        <f>#REF!/12/#REF!+#REF!+F159-BJ102</f>
        <v>#REF!</v>
      </c>
      <c r="BF20" s="26" t="e">
        <f>#REF!/12+#REF!+F159-BJ102</f>
        <v>#REF!</v>
      </c>
      <c r="BG20" s="26" t="s">
        <v>204</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205</v>
      </c>
      <c r="BV20" s="26"/>
      <c r="BW20" s="26"/>
      <c r="BX20" s="26"/>
      <c r="BY20" s="26"/>
      <c r="BZ20" s="26" t="s">
        <v>206</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207</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3">
      <c r="B21" s="52"/>
      <c r="C21" s="50"/>
      <c r="D21" s="210"/>
      <c r="E21" s="211"/>
      <c r="F21" s="26"/>
      <c r="G21" s="26"/>
      <c r="H21" s="26"/>
      <c r="I21" s="26"/>
      <c r="J21" s="26"/>
      <c r="K21" s="26" t="s">
        <v>211</v>
      </c>
      <c r="L21" s="26"/>
      <c r="M21" s="26"/>
      <c r="N21" s="26"/>
      <c r="O21" s="26">
        <f>N21*C9</f>
        <v>0</v>
      </c>
      <c r="P21" s="26" t="s">
        <v>210</v>
      </c>
      <c r="Q21" s="26" t="e">
        <f>BB19*Q20</f>
        <v>#REF!</v>
      </c>
      <c r="R21" s="26">
        <f>BB19*R20</f>
        <v>0</v>
      </c>
      <c r="S21" s="26" t="e">
        <f>#REF!</f>
        <v>#REF!</v>
      </c>
      <c r="T21" s="26" t="e">
        <f>U21*T20</f>
        <v>#REF!</v>
      </c>
      <c r="U21" s="26">
        <f>IF(BB19=0,0,IF((BB19+V21)&gt;36%,36%,BB19+V21))</f>
        <v>0</v>
      </c>
      <c r="V21" s="26" t="e">
        <f>(G179-T7)*2.4%</f>
        <v>#REF!</v>
      </c>
      <c r="W21" s="26"/>
      <c r="X21" s="26"/>
      <c r="Y21" s="26"/>
      <c r="Z21" s="26"/>
      <c r="AA21" s="26" t="s">
        <v>212</v>
      </c>
      <c r="AB21" s="26" t="s">
        <v>200</v>
      </c>
      <c r="AC21" s="26"/>
      <c r="AD21" s="26" t="s">
        <v>27</v>
      </c>
      <c r="AE21" s="26" t="s">
        <v>59</v>
      </c>
      <c r="AF21" s="26" t="s">
        <v>59</v>
      </c>
      <c r="AG21" s="26" t="s">
        <v>213</v>
      </c>
      <c r="AH21" s="26"/>
      <c r="AI21" s="26"/>
      <c r="AJ21" s="26"/>
      <c r="AK21" s="26"/>
      <c r="AL21" s="26" t="s">
        <v>214</v>
      </c>
      <c r="AM21" s="26">
        <v>39964</v>
      </c>
      <c r="AN21" s="26"/>
      <c r="AO21" s="26"/>
      <c r="AP21" s="26" t="s">
        <v>215</v>
      </c>
      <c r="AQ21" s="26" t="s">
        <v>216</v>
      </c>
      <c r="AR21" s="26"/>
      <c r="AS21" s="26">
        <v>11</v>
      </c>
      <c r="AT21" s="26"/>
      <c r="AU21" s="26">
        <v>0.5</v>
      </c>
      <c r="AV21" s="26"/>
      <c r="AW21" s="26"/>
      <c r="AX21" s="26" t="s">
        <v>59</v>
      </c>
      <c r="AY21" s="26">
        <v>17288</v>
      </c>
      <c r="AZ21" s="26">
        <v>17288</v>
      </c>
      <c r="BA21" s="26"/>
      <c r="BB21" s="26" t="s">
        <v>217</v>
      </c>
      <c r="BC21" s="26"/>
      <c r="BD21" s="26"/>
      <c r="BE21" s="26" t="s">
        <v>218</v>
      </c>
      <c r="BF21" s="26"/>
      <c r="BG21" s="26"/>
      <c r="BH21" s="26" t="s">
        <v>219</v>
      </c>
      <c r="BI21" s="26" t="s">
        <v>220</v>
      </c>
      <c r="BJ21" s="26" t="s">
        <v>173</v>
      </c>
      <c r="BK21" s="26" t="s">
        <v>221</v>
      </c>
      <c r="BL21" s="26" t="s">
        <v>222</v>
      </c>
      <c r="BM21" s="26" t="s">
        <v>223</v>
      </c>
      <c r="BN21" s="26" t="s">
        <v>224</v>
      </c>
      <c r="BO21" s="26"/>
      <c r="BP21" s="26" t="s">
        <v>225</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226</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227</v>
      </c>
      <c r="DL21" s="26">
        <v>43.7</v>
      </c>
      <c r="DM21" s="26"/>
      <c r="DN21" s="26"/>
      <c r="DO21" s="26"/>
      <c r="DP21" s="26"/>
      <c r="DQ21" s="26"/>
      <c r="DR21" s="26"/>
      <c r="DS21" s="26"/>
      <c r="DT21" s="26"/>
    </row>
    <row r="22" spans="2:124" ht="14.25" customHeight="1" x14ac:dyDescent="0.3">
      <c r="B22" s="26"/>
      <c r="C22" s="26"/>
      <c r="D22" s="26"/>
      <c r="E22" s="26"/>
      <c r="F22" s="26"/>
      <c r="G22" s="26"/>
      <c r="H22" s="26"/>
      <c r="I22" s="26"/>
      <c r="J22" s="26"/>
      <c r="K22" s="26" t="s">
        <v>211</v>
      </c>
      <c r="L22" s="26"/>
      <c r="M22" s="26"/>
      <c r="N22" s="26"/>
      <c r="O22" s="26">
        <f>J23</f>
        <v>0</v>
      </c>
      <c r="P22" s="26" t="s">
        <v>228</v>
      </c>
      <c r="Q22" s="26" t="e">
        <f>AB16*Q10</f>
        <v>#REF!</v>
      </c>
      <c r="R22" s="26">
        <f>AB16*R10</f>
        <v>0</v>
      </c>
      <c r="S22" s="26" t="e">
        <f>#REF!</f>
        <v>#REF!</v>
      </c>
      <c r="T22" s="26" t="e">
        <f>U22*T10</f>
        <v>#REF!</v>
      </c>
      <c r="U22" s="26">
        <f>VLOOKUP(INT(V22),ghad1,2,FALSE)</f>
        <v>0</v>
      </c>
      <c r="V22" s="26">
        <f>IF(AB16=0,0,IF(60-T7+BG70&gt;13,13,60-T7+BG70))</f>
        <v>0</v>
      </c>
      <c r="W22" s="26" t="s">
        <v>229</v>
      </c>
      <c r="X22" s="26">
        <f>IF(C39=16%,IF(OR(C5=CB16,C5=CC16,C5=CD16),0.8,0.9),0.8)</f>
        <v>0.8</v>
      </c>
      <c r="Y22" s="26"/>
      <c r="Z22" s="26"/>
      <c r="AA22" s="26" t="s">
        <v>230</v>
      </c>
      <c r="AB22" s="26"/>
      <c r="AC22" s="26"/>
      <c r="AD22" s="26"/>
      <c r="AE22" s="26" t="s">
        <v>59</v>
      </c>
      <c r="AF22" s="26" t="s">
        <v>59</v>
      </c>
      <c r="AG22" s="26" t="s">
        <v>231</v>
      </c>
      <c r="AH22" s="26" t="s">
        <v>59</v>
      </c>
      <c r="AI22" s="26"/>
      <c r="AJ22" s="26" t="s">
        <v>232</v>
      </c>
      <c r="AK22" s="26"/>
      <c r="AL22" s="26" t="s">
        <v>233</v>
      </c>
      <c r="AM22" s="26">
        <v>39994</v>
      </c>
      <c r="AN22" s="26"/>
      <c r="AO22" s="26"/>
      <c r="AP22" s="26" t="s">
        <v>234</v>
      </c>
      <c r="AQ22" s="26">
        <v>28734</v>
      </c>
      <c r="AR22" s="26"/>
      <c r="AS22" s="26" t="s">
        <v>235</v>
      </c>
      <c r="AT22" s="26"/>
      <c r="AU22" s="26">
        <v>1</v>
      </c>
      <c r="AV22" s="26"/>
      <c r="AW22" s="26"/>
      <c r="AX22" s="26" t="s">
        <v>59</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236</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237</v>
      </c>
      <c r="DM22" s="26"/>
      <c r="DN22" s="26"/>
      <c r="DO22" s="26"/>
      <c r="DP22" s="26"/>
      <c r="DQ22" s="26"/>
      <c r="DR22" s="26"/>
      <c r="DS22" s="26"/>
      <c r="DT22" s="26"/>
    </row>
    <row r="23" spans="2:124" ht="15.75" customHeight="1" thickBot="1" x14ac:dyDescent="0.35">
      <c r="B23" s="26"/>
      <c r="D23" s="53" t="s">
        <v>108</v>
      </c>
      <c r="F23" s="26"/>
      <c r="G23" s="26"/>
      <c r="H23" s="26"/>
      <c r="I23" s="26"/>
      <c r="J23" s="26"/>
      <c r="K23" s="26" t="s">
        <v>211</v>
      </c>
      <c r="L23" s="26"/>
      <c r="M23" s="26"/>
      <c r="N23" s="26"/>
      <c r="O23" s="26">
        <v>0</v>
      </c>
      <c r="P23" s="26" t="s">
        <v>238</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239</v>
      </c>
      <c r="AA23" s="26"/>
      <c r="AB23" s="26">
        <v>0</v>
      </c>
      <c r="AC23" s="26"/>
      <c r="AD23" s="26"/>
      <c r="AE23" s="26" t="s">
        <v>59</v>
      </c>
      <c r="AF23" s="26" t="s">
        <v>240</v>
      </c>
      <c r="AG23" s="26" t="s">
        <v>241</v>
      </c>
      <c r="AH23" s="26"/>
      <c r="AI23" s="26"/>
      <c r="AJ23" s="26" t="s">
        <v>242</v>
      </c>
      <c r="AK23" s="26">
        <v>389</v>
      </c>
      <c r="AL23" s="26" t="s">
        <v>243</v>
      </c>
      <c r="AM23" s="26">
        <v>40025</v>
      </c>
      <c r="AN23" s="26"/>
      <c r="AO23" s="26"/>
      <c r="AP23" s="26">
        <v>16</v>
      </c>
      <c r="AQ23" s="26">
        <v>11</v>
      </c>
      <c r="AR23" s="26"/>
      <c r="AS23" s="26">
        <v>12</v>
      </c>
      <c r="AT23" s="26"/>
      <c r="AU23" s="26">
        <v>1.5</v>
      </c>
      <c r="AV23" s="26"/>
      <c r="AW23" s="26"/>
      <c r="AX23" s="26" t="s">
        <v>59</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244</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154</v>
      </c>
      <c r="DL23" s="26" t="s">
        <v>245</v>
      </c>
      <c r="DM23" s="26"/>
      <c r="DN23" s="26"/>
      <c r="DO23" s="26"/>
      <c r="DP23" s="26"/>
      <c r="DQ23" s="26"/>
      <c r="DR23" s="26"/>
      <c r="DS23" s="26"/>
      <c r="DT23" s="26"/>
    </row>
    <row r="24" spans="2:124" ht="15.75" customHeight="1" thickBot="1" x14ac:dyDescent="0.4">
      <c r="B24" s="26"/>
      <c r="C24" s="55" t="s">
        <v>246</v>
      </c>
      <c r="D24" s="55" t="s">
        <v>247</v>
      </c>
      <c r="E24" s="55" t="s">
        <v>248</v>
      </c>
      <c r="F24" s="56" t="s">
        <v>249</v>
      </c>
      <c r="G24" s="26"/>
      <c r="H24" s="26"/>
      <c r="I24" s="26"/>
      <c r="J24" s="26"/>
      <c r="K24" s="26" t="s">
        <v>211</v>
      </c>
      <c r="L24" s="26"/>
      <c r="M24" s="26"/>
      <c r="N24" s="26">
        <f>I25</f>
        <v>0</v>
      </c>
      <c r="O24" s="26">
        <f>J25</f>
        <v>0</v>
      </c>
      <c r="P24" s="26" t="s">
        <v>250</v>
      </c>
      <c r="Q24" s="26" t="e">
        <f>Q5*BG72</f>
        <v>#REF!</v>
      </c>
      <c r="R24" s="26">
        <f>Q25</f>
        <v>0</v>
      </c>
      <c r="S24" s="26" t="s">
        <v>251</v>
      </c>
      <c r="T24" s="26" t="e">
        <f>T5*BG72</f>
        <v>#REF!</v>
      </c>
      <c r="U24" s="26"/>
      <c r="V24" s="26"/>
      <c r="W24" s="26"/>
      <c r="X24" s="26" t="s">
        <v>252</v>
      </c>
      <c r="Y24" s="26"/>
      <c r="Z24" s="26"/>
      <c r="AA24" s="26"/>
      <c r="AB24" s="26"/>
      <c r="AC24" s="26"/>
      <c r="AD24" s="26"/>
      <c r="AE24" s="26" t="s">
        <v>59</v>
      </c>
      <c r="AF24" s="26"/>
      <c r="AG24" s="26" t="s">
        <v>59</v>
      </c>
      <c r="AH24" s="26"/>
      <c r="AI24" s="26"/>
      <c r="AJ24" s="26" t="s">
        <v>253</v>
      </c>
      <c r="AK24" s="26">
        <v>0.59709999999999996</v>
      </c>
      <c r="AL24" s="26" t="s">
        <v>254</v>
      </c>
      <c r="AM24" s="26">
        <v>40056</v>
      </c>
      <c r="AN24" s="26"/>
      <c r="AO24" s="26"/>
      <c r="AP24" s="26">
        <v>20</v>
      </c>
      <c r="AQ24" s="26">
        <v>12</v>
      </c>
      <c r="AR24" s="26"/>
      <c r="AS24" s="26" t="s">
        <v>255</v>
      </c>
      <c r="AT24" s="26" t="s">
        <v>256</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257</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258</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259</v>
      </c>
      <c r="DL24" s="26" t="s">
        <v>260</v>
      </c>
      <c r="DM24" s="26"/>
      <c r="DN24" s="26"/>
      <c r="DO24" s="26"/>
      <c r="DP24" s="26"/>
      <c r="DQ24" s="26"/>
      <c r="DR24" s="26"/>
      <c r="DS24" s="26"/>
      <c r="DT24" s="26"/>
    </row>
    <row r="25" spans="2:124" ht="15" customHeight="1" x14ac:dyDescent="0.3">
      <c r="B25" s="57" t="s">
        <v>261</v>
      </c>
      <c r="C25" s="57">
        <v>1</v>
      </c>
      <c r="D25" s="57">
        <v>0</v>
      </c>
      <c r="E25" s="57">
        <v>0</v>
      </c>
      <c r="F25" s="204">
        <f>SUM(C25:E25)</f>
        <v>1</v>
      </c>
      <c r="G25" s="26" t="s">
        <v>262</v>
      </c>
      <c r="H25" s="26"/>
      <c r="I25" s="26"/>
      <c r="J25" s="26"/>
      <c r="K25" s="26" t="s">
        <v>211</v>
      </c>
      <c r="L25" s="26"/>
      <c r="M25" s="26"/>
      <c r="N25" s="26">
        <f>SUM(N7:N24)</f>
        <v>593</v>
      </c>
      <c r="O25" s="26" t="e">
        <f>SUM(O7:O24)</f>
        <v>#N/A</v>
      </c>
      <c r="P25" s="26" t="str">
        <f>BF73</f>
        <v>תוספת ערבה</v>
      </c>
      <c r="Q25" s="26">
        <f>BG73</f>
        <v>0</v>
      </c>
      <c r="R25" s="26">
        <f>SUM(R10:R24)*'[1]נתוני מס'!L23</f>
        <v>271.07985410316002</v>
      </c>
      <c r="S25" s="26" t="str">
        <f>P25</f>
        <v>תוספת ערבה</v>
      </c>
      <c r="T25" s="26">
        <f>BG73</f>
        <v>0</v>
      </c>
      <c r="U25" s="26"/>
      <c r="V25" s="26"/>
      <c r="W25" s="26">
        <f>IF(BG59=CB16,10%,IF(BG59=CC16,5%,0))</f>
        <v>0.1</v>
      </c>
      <c r="X25" s="26" t="s">
        <v>263</v>
      </c>
      <c r="Y25" s="26"/>
      <c r="Z25" s="26"/>
      <c r="AA25" s="26"/>
      <c r="AB25" s="26"/>
      <c r="AC25" s="26">
        <v>40147</v>
      </c>
      <c r="AD25" s="26"/>
      <c r="AE25" s="26" t="s">
        <v>264</v>
      </c>
      <c r="AF25" s="26" t="e">
        <f>IF(BF50&lt;60,MIN(BA43:BA45),0)</f>
        <v>#REF!</v>
      </c>
      <c r="AG25" s="26"/>
      <c r="AH25" s="26"/>
      <c r="AI25" s="26"/>
      <c r="AJ25" s="26" t="s">
        <v>265</v>
      </c>
      <c r="AK25" s="26">
        <v>40574</v>
      </c>
      <c r="AL25" s="26" t="s">
        <v>151</v>
      </c>
      <c r="AM25" s="26">
        <v>40086</v>
      </c>
      <c r="AN25" s="26"/>
      <c r="AO25" s="26"/>
      <c r="AP25" s="26">
        <v>25</v>
      </c>
      <c r="AQ25" s="26">
        <v>13</v>
      </c>
      <c r="AR25" s="26"/>
      <c r="AS25" s="26">
        <v>13</v>
      </c>
      <c r="AT25" s="26">
        <v>34</v>
      </c>
      <c r="AU25" s="26">
        <v>2.5</v>
      </c>
      <c r="AV25" s="26"/>
      <c r="AW25" s="26"/>
      <c r="AX25" s="26"/>
      <c r="AY25" s="26">
        <v>18994</v>
      </c>
      <c r="AZ25" s="26">
        <v>18994</v>
      </c>
      <c r="BA25" s="26"/>
      <c r="BB25" s="26" t="s">
        <v>138</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266</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267</v>
      </c>
      <c r="DL25" s="26" t="s">
        <v>268</v>
      </c>
      <c r="DM25" s="26"/>
      <c r="DN25" s="26"/>
      <c r="DO25" s="26"/>
      <c r="DP25" s="26"/>
      <c r="DQ25" s="26"/>
      <c r="DR25" s="26"/>
      <c r="DS25" s="26"/>
      <c r="DT25" s="26"/>
    </row>
    <row r="26" spans="2:124" ht="18.75" customHeight="1" x14ac:dyDescent="0.3">
      <c r="B26" s="51" t="s">
        <v>269</v>
      </c>
      <c r="C26" s="54">
        <f>C25*1</f>
        <v>1</v>
      </c>
      <c r="D26" s="54">
        <f>D25*1.1</f>
        <v>0</v>
      </c>
      <c r="E26" s="54">
        <f>E25*2</f>
        <v>0</v>
      </c>
      <c r="F26" s="59">
        <f>SUM(C26:E26)</f>
        <v>1</v>
      </c>
      <c r="G26" s="26" t="s">
        <v>270</v>
      </c>
      <c r="H26" s="26"/>
      <c r="I26" s="26"/>
      <c r="J26" s="26"/>
      <c r="K26" s="26"/>
      <c r="L26" s="26"/>
      <c r="M26" s="26"/>
      <c r="N26" s="26"/>
      <c r="O26" s="26"/>
      <c r="P26" s="26"/>
      <c r="Q26" s="26" t="e">
        <f>SUM(Q10:Q25)</f>
        <v>#REF!</v>
      </c>
      <c r="R26" s="26">
        <f>SUM(R10:R24)*'[1]נתוני מס'!L22*(1+'[1]נתוני מס'!L23)</f>
        <v>366.65056266641858</v>
      </c>
      <c r="S26" s="26" t="s">
        <v>271</v>
      </c>
      <c r="T26" s="26" t="e">
        <f>SUM(T10:T25)</f>
        <v>#REF!</v>
      </c>
      <c r="U26" s="26"/>
      <c r="V26" s="26"/>
      <c r="W26" s="26"/>
      <c r="X26" s="26"/>
      <c r="Y26" s="26"/>
      <c r="Z26" s="26"/>
      <c r="AA26" s="26"/>
      <c r="AB26" s="26"/>
      <c r="AC26" s="26">
        <v>147.53</v>
      </c>
      <c r="AD26" s="26"/>
      <c r="AE26" s="26"/>
      <c r="AF26" s="26"/>
      <c r="AG26" s="26"/>
      <c r="AH26" s="26"/>
      <c r="AI26" s="26"/>
      <c r="AJ26" s="26" t="s">
        <v>216</v>
      </c>
      <c r="AK26" s="26"/>
      <c r="AL26" s="26" t="s">
        <v>272</v>
      </c>
      <c r="AM26" s="26">
        <v>40117</v>
      </c>
      <c r="AN26" s="26"/>
      <c r="AO26" s="26"/>
      <c r="AP26" s="26"/>
      <c r="AQ26" s="26"/>
      <c r="AR26" s="26"/>
      <c r="AS26" s="26" t="s">
        <v>273</v>
      </c>
      <c r="AT26" s="26" t="s">
        <v>274</v>
      </c>
      <c r="AU26" s="26">
        <v>3</v>
      </c>
      <c r="AV26" s="26"/>
      <c r="AW26" s="26"/>
      <c r="AX26" s="26"/>
      <c r="AY26" s="26">
        <v>19238</v>
      </c>
      <c r="AZ26" s="26">
        <v>19238</v>
      </c>
      <c r="BA26" s="26"/>
      <c r="BB26" s="26" t="s">
        <v>275</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224</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276</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268</v>
      </c>
      <c r="DM26" s="26"/>
      <c r="DN26" s="26"/>
      <c r="DO26" s="26"/>
      <c r="DP26" s="26"/>
      <c r="DQ26" s="26"/>
      <c r="DR26" s="26"/>
      <c r="DS26" s="26"/>
      <c r="DT26" s="26"/>
    </row>
    <row r="27" spans="2:124" ht="23.25" customHeight="1" thickBot="1" x14ac:dyDescent="0.35">
      <c r="C27" s="60"/>
      <c r="D27" s="60" t="s">
        <v>182</v>
      </c>
      <c r="E27" s="60"/>
      <c r="G27" s="26"/>
      <c r="H27" s="26"/>
      <c r="I27" s="26"/>
      <c r="J27" s="26"/>
      <c r="K27" s="26"/>
      <c r="L27" s="26"/>
      <c r="M27" s="26"/>
      <c r="N27" s="26"/>
      <c r="O27" s="26"/>
      <c r="P27" s="26"/>
      <c r="Q27" s="26"/>
      <c r="R27" s="26">
        <f>SUM(R10:R26)</f>
        <v>8167.7263640795791</v>
      </c>
      <c r="S27" s="26" t="s">
        <v>279</v>
      </c>
      <c r="T27" s="26" t="e">
        <f>(T26*V8+D234*H193)/T9</f>
        <v>#REF!</v>
      </c>
      <c r="U27" s="26" t="s">
        <v>59</v>
      </c>
      <c r="V27" s="26"/>
      <c r="W27" s="26"/>
      <c r="X27" s="26"/>
      <c r="Y27" s="26"/>
      <c r="Z27" s="26"/>
      <c r="AA27" s="26"/>
      <c r="AB27" s="26"/>
      <c r="AC27" s="26"/>
      <c r="AD27" s="26"/>
      <c r="AE27" s="26" t="s">
        <v>275</v>
      </c>
      <c r="AF27" s="26">
        <f>YEAR(AK25)-YEAR(J4)+BC26</f>
        <v>144</v>
      </c>
      <c r="AG27" s="26"/>
      <c r="AH27" s="26"/>
      <c r="AI27" s="26" t="s">
        <v>280</v>
      </c>
      <c r="AJ27" s="26" t="s">
        <v>281</v>
      </c>
      <c r="AK27" s="26" t="s">
        <v>282</v>
      </c>
      <c r="AL27" s="26" t="s">
        <v>283</v>
      </c>
      <c r="AM27" s="26">
        <v>40147</v>
      </c>
      <c r="AN27" s="26"/>
      <c r="AO27" s="26"/>
      <c r="AP27" s="26"/>
      <c r="AQ27" s="26" t="s">
        <v>59</v>
      </c>
      <c r="AR27" s="26">
        <f>VLOOKUP(AF27,__HAV2,2,TRUE)</f>
        <v>13</v>
      </c>
      <c r="AS27" s="26">
        <v>14</v>
      </c>
      <c r="AT27" s="26">
        <v>35</v>
      </c>
      <c r="AU27" s="26"/>
      <c r="AV27" s="26"/>
      <c r="AW27" s="26"/>
      <c r="AX27" s="26"/>
      <c r="AY27" s="26">
        <v>19480</v>
      </c>
      <c r="AZ27" s="26">
        <v>19480</v>
      </c>
      <c r="BA27" s="26" t="s">
        <v>284</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285</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286</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268</v>
      </c>
      <c r="DM27" s="26"/>
      <c r="DN27" s="26"/>
      <c r="DO27" s="26"/>
      <c r="DP27" s="26"/>
      <c r="DQ27" s="26"/>
      <c r="DR27" s="26"/>
      <c r="DS27" s="26"/>
      <c r="DT27" s="26"/>
    </row>
    <row r="28" spans="2:124" ht="15" customHeight="1" thickBot="1" x14ac:dyDescent="0.4">
      <c r="C28" s="55" t="s">
        <v>287</v>
      </c>
      <c r="D28" s="55" t="s">
        <v>288</v>
      </c>
      <c r="E28" s="55" t="s">
        <v>289</v>
      </c>
      <c r="F28" s="56" t="s">
        <v>249</v>
      </c>
      <c r="G28" s="26"/>
      <c r="H28" s="26"/>
      <c r="I28" s="26"/>
      <c r="J28" s="26"/>
      <c r="K28" s="26"/>
      <c r="L28" s="26"/>
      <c r="M28" s="26"/>
      <c r="N28" s="26"/>
      <c r="O28" s="26" t="s">
        <v>277</v>
      </c>
      <c r="P28" s="26">
        <f>I27+I21</f>
        <v>0</v>
      </c>
      <c r="Q28" s="26">
        <f>J27+J21</f>
        <v>0</v>
      </c>
      <c r="R28" s="26"/>
      <c r="S28" s="26"/>
      <c r="T28" s="26"/>
      <c r="U28" s="26"/>
      <c r="V28" s="26"/>
      <c r="W28" s="26"/>
      <c r="X28" s="26"/>
      <c r="Y28" s="26"/>
      <c r="Z28" s="26"/>
      <c r="AA28" s="26"/>
      <c r="AB28" s="26"/>
      <c r="AC28" s="26">
        <v>164.07</v>
      </c>
      <c r="AD28" s="26"/>
      <c r="AE28" s="26" t="s">
        <v>292</v>
      </c>
      <c r="AF28" s="26">
        <f>BC24</f>
        <v>33</v>
      </c>
      <c r="AG28" s="26"/>
      <c r="AH28" s="26" t="s">
        <v>191</v>
      </c>
      <c r="AI28" s="26">
        <f>IF(BC24&gt;AF29,AF29,BC24)</f>
        <v>33</v>
      </c>
      <c r="AJ28" s="26" t="e">
        <f>IF(AB21=#REF!,1.5*AK28,1*AK28)</f>
        <v>#REF!</v>
      </c>
      <c r="AK28" s="26">
        <f>IF(AB21=AJ20,1,IF(BC24&gt;30,0.75,1))</f>
        <v>1</v>
      </c>
      <c r="AL28" s="26" t="s">
        <v>293</v>
      </c>
      <c r="AM28" s="26">
        <v>40178</v>
      </c>
      <c r="AN28" s="26"/>
      <c r="AO28" s="26"/>
      <c r="AP28" s="26"/>
      <c r="AQ28" s="26"/>
      <c r="AR28" s="26"/>
      <c r="AS28" s="26" t="s">
        <v>294</v>
      </c>
      <c r="AT28" s="26" t="s">
        <v>295</v>
      </c>
      <c r="AU28" s="26"/>
      <c r="AV28" s="26"/>
      <c r="AW28" s="26"/>
      <c r="AX28" s="26"/>
      <c r="AY28" s="26"/>
      <c r="AZ28" s="26"/>
      <c r="BA28" s="26"/>
      <c r="BB28" s="26" t="s">
        <v>59</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296</v>
      </c>
      <c r="CR28" s="26"/>
      <c r="CS28" s="26"/>
      <c r="CT28" s="26"/>
      <c r="CU28" s="26"/>
      <c r="CV28" s="26">
        <v>17</v>
      </c>
      <c r="CW28" s="26">
        <v>59.6</v>
      </c>
      <c r="CX28" s="26"/>
      <c r="CY28" s="26"/>
      <c r="CZ28" s="26">
        <v>17</v>
      </c>
      <c r="DA28" s="26">
        <v>47</v>
      </c>
      <c r="DB28" s="26">
        <v>56.14</v>
      </c>
      <c r="DC28" s="26"/>
      <c r="DD28" s="26">
        <v>17</v>
      </c>
      <c r="DE28" s="26">
        <v>26.4</v>
      </c>
      <c r="DF28" s="26">
        <v>28.2</v>
      </c>
      <c r="DG28" s="26"/>
      <c r="DH28" s="26" t="s">
        <v>297</v>
      </c>
      <c r="DI28" s="26"/>
      <c r="DJ28" s="26"/>
      <c r="DK28" s="26" t="s">
        <v>298</v>
      </c>
      <c r="DL28" s="26" t="s">
        <v>268</v>
      </c>
      <c r="DM28" s="26"/>
      <c r="DN28" s="26"/>
      <c r="DO28" s="26"/>
      <c r="DP28" s="26"/>
      <c r="DQ28" s="26"/>
      <c r="DR28" s="26"/>
      <c r="DS28" s="26"/>
      <c r="DT28" s="26"/>
    </row>
    <row r="29" spans="2:124" ht="14.25" customHeight="1" x14ac:dyDescent="0.3">
      <c r="B29" s="35" t="s">
        <v>261</v>
      </c>
      <c r="C29" s="35">
        <v>15</v>
      </c>
      <c r="D29" s="35">
        <v>0</v>
      </c>
      <c r="E29" s="35">
        <v>0</v>
      </c>
      <c r="F29" s="60">
        <f>SUM(C29:E29)</f>
        <v>15</v>
      </c>
      <c r="G29" s="26"/>
      <c r="H29" s="26"/>
      <c r="I29" s="26"/>
      <c r="J29" s="26"/>
      <c r="K29" s="26"/>
      <c r="L29" s="26"/>
      <c r="M29" s="26"/>
      <c r="N29" s="26"/>
      <c r="O29" s="26" t="s">
        <v>290</v>
      </c>
      <c r="P29" s="26">
        <f>3.4%*P28</f>
        <v>0</v>
      </c>
      <c r="Q29" s="26" t="e">
        <f>(Q28*1.034*1.15-P33)/P33</f>
        <v>#N/A</v>
      </c>
      <c r="R29" s="26" t="s">
        <v>301</v>
      </c>
      <c r="S29" s="26">
        <f>C134</f>
        <v>35</v>
      </c>
      <c r="T29" s="26" t="e">
        <f>U32+W32</f>
        <v>#REF!</v>
      </c>
      <c r="U29" s="26" t="s">
        <v>31</v>
      </c>
      <c r="V29" s="26"/>
      <c r="W29" s="26"/>
      <c r="X29" s="26"/>
      <c r="Y29" s="26"/>
      <c r="Z29" s="26"/>
      <c r="AA29" s="26" t="s">
        <v>302</v>
      </c>
      <c r="AB29" s="26">
        <f>IF(BG71=AD20,12%,0)</f>
        <v>0</v>
      </c>
      <c r="AC29" s="26"/>
      <c r="AD29" s="26"/>
      <c r="AE29" s="26" t="s">
        <v>303</v>
      </c>
      <c r="AF29" s="26">
        <v>36</v>
      </c>
      <c r="AG29" s="26"/>
      <c r="AH29" s="26" t="s">
        <v>304</v>
      </c>
      <c r="AI29" s="26">
        <f>IF((AI28+AG38)&gt;AF29,AF29,AI28+AG38)</f>
        <v>36</v>
      </c>
      <c r="AJ29" s="26"/>
      <c r="AK29" s="26"/>
      <c r="AL29" s="26"/>
      <c r="AM29" s="26">
        <v>40209</v>
      </c>
      <c r="AN29" s="26"/>
      <c r="AO29" s="26"/>
      <c r="AP29" s="26"/>
      <c r="AQ29" s="26"/>
      <c r="AR29" s="26"/>
      <c r="AS29" s="26">
        <v>15</v>
      </c>
      <c r="AT29" s="26">
        <v>36</v>
      </c>
      <c r="AU29" s="26"/>
      <c r="AV29" s="26"/>
      <c r="AW29" s="26" t="s">
        <v>305</v>
      </c>
      <c r="AX29" s="26"/>
      <c r="AY29" s="26">
        <f>IF(MONTH(J4)=1,1,0)</f>
        <v>1</v>
      </c>
      <c r="AZ29" s="26"/>
      <c r="BA29" s="26" t="s">
        <v>306</v>
      </c>
      <c r="BB29" s="26" t="e">
        <f>(Q26-#REF!)*12</f>
        <v>#REF!</v>
      </c>
      <c r="BC29" s="26"/>
      <c r="BD29" s="26"/>
      <c r="BE29" s="26"/>
      <c r="BF29" s="26" t="s">
        <v>307</v>
      </c>
      <c r="BG29" s="26" t="s">
        <v>308</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309</v>
      </c>
      <c r="BQ29" s="26"/>
      <c r="BR29" s="26"/>
      <c r="BS29" s="26" t="e">
        <f>IF($BR$28=0%,BS27,IF(BS21&lt;$BP$20,BS27*$BI$99,BS27-($BP$28*BS28)))</f>
        <v>#REF!</v>
      </c>
      <c r="BT29" s="26"/>
      <c r="BU29" s="26" t="e">
        <f>IF($BR$28=0%,BU27,IF(BU21&lt;$BP$20,BU27*$BI$99,BU27-($BP$28*BU28)))</f>
        <v>#REF!</v>
      </c>
      <c r="BV29" s="26" t="s">
        <v>310</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268</v>
      </c>
      <c r="DM29" s="26"/>
      <c r="DN29" s="26"/>
      <c r="DO29" s="26"/>
      <c r="DP29" s="26"/>
      <c r="DQ29" s="26"/>
      <c r="DR29" s="26"/>
      <c r="DS29" s="26"/>
      <c r="DT29" s="26"/>
    </row>
    <row r="30" spans="2:124" ht="14.25" customHeight="1" x14ac:dyDescent="0.3">
      <c r="B30" s="51" t="s">
        <v>269</v>
      </c>
      <c r="C30" s="54">
        <f>C29*2.4</f>
        <v>36</v>
      </c>
      <c r="D30" s="54">
        <f>D29*2.2</f>
        <v>0</v>
      </c>
      <c r="E30" s="54">
        <f>E29*2</f>
        <v>0</v>
      </c>
      <c r="F30" s="185">
        <f>SUM(C30:E30)</f>
        <v>36</v>
      </c>
      <c r="G30" s="26"/>
      <c r="H30" s="26"/>
      <c r="I30" s="26"/>
      <c r="J30" s="26"/>
      <c r="K30" s="26"/>
      <c r="L30" s="26"/>
      <c r="M30" s="26"/>
      <c r="N30" s="26"/>
      <c r="O30" s="26" t="s">
        <v>299</v>
      </c>
      <c r="P30" s="26">
        <f>IF($C$21=$S$723,15%,15%*0.8)</f>
        <v>0.12</v>
      </c>
      <c r="Q30" s="26" t="e">
        <f>ROUND(Q29,2)</f>
        <v>#N/A</v>
      </c>
      <c r="R30" s="26" t="s">
        <v>313</v>
      </c>
      <c r="S30" s="26">
        <f>C135</f>
        <v>0</v>
      </c>
      <c r="T30" s="26" t="e">
        <f>U33+W33</f>
        <v>#REF!</v>
      </c>
      <c r="U30" s="26" t="s">
        <v>30</v>
      </c>
      <c r="V30" s="26"/>
      <c r="W30" s="26"/>
      <c r="X30" s="26"/>
      <c r="Y30" s="26"/>
      <c r="Z30" s="26"/>
      <c r="AA30" s="26"/>
      <c r="AB30" s="26"/>
      <c r="AC30" s="26"/>
      <c r="AD30" s="26"/>
      <c r="AE30" s="26"/>
      <c r="AF30" s="26"/>
      <c r="AG30" s="26" t="s">
        <v>314</v>
      </c>
      <c r="AH30" s="26"/>
      <c r="AI30" s="26"/>
      <c r="AJ30" s="26" t="e">
        <f>(100-AJ28)/100</f>
        <v>#REF!</v>
      </c>
      <c r="AK30" s="26"/>
      <c r="AL30" s="26"/>
      <c r="AM30" s="26">
        <v>40237</v>
      </c>
      <c r="AN30" s="26"/>
      <c r="AO30" s="26" t="s">
        <v>315</v>
      </c>
      <c r="AP30" s="26"/>
      <c r="AQ30" s="26"/>
      <c r="AR30" s="26"/>
      <c r="AS30" s="26" t="s">
        <v>316</v>
      </c>
      <c r="AT30" s="26" t="s">
        <v>317</v>
      </c>
      <c r="AU30" s="26"/>
      <c r="AV30" s="26"/>
      <c r="AW30" s="26"/>
      <c r="AX30" s="26"/>
      <c r="AY30" s="26" t="s">
        <v>59</v>
      </c>
      <c r="AZ30" s="26"/>
      <c r="BA30" s="26" t="s">
        <v>59</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318</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259</v>
      </c>
      <c r="DI30" s="26"/>
      <c r="DJ30" s="26"/>
      <c r="DK30" s="26"/>
      <c r="DL30" s="26" t="s">
        <v>268</v>
      </c>
      <c r="DM30" s="26"/>
      <c r="DN30" s="26"/>
      <c r="DO30" s="26"/>
      <c r="DP30" s="26"/>
      <c r="DQ30" s="26"/>
      <c r="DR30" s="26"/>
      <c r="DS30" s="26"/>
      <c r="DT30" s="26"/>
    </row>
    <row r="31" spans="2:124" ht="18.75" customHeight="1" x14ac:dyDescent="0.3">
      <c r="B31" s="60" t="s">
        <v>319</v>
      </c>
      <c r="E31" s="35">
        <v>0</v>
      </c>
      <c r="F31" s="61">
        <f>F30*0.05*E31</f>
        <v>0</v>
      </c>
      <c r="G31" s="26"/>
      <c r="H31" s="26"/>
      <c r="I31" s="26"/>
      <c r="J31" s="26"/>
      <c r="K31" s="26" t="s">
        <v>301</v>
      </c>
      <c r="L31" s="26"/>
      <c r="M31" s="26"/>
      <c r="N31" s="26"/>
      <c r="O31" s="26" t="s">
        <v>311</v>
      </c>
      <c r="P31" s="26">
        <f>(P28+P29)*(1+P30)</f>
        <v>0</v>
      </c>
      <c r="Q31" s="26"/>
      <c r="R31" s="26"/>
      <c r="S31" s="26"/>
      <c r="T31" s="26"/>
      <c r="U31" s="26"/>
      <c r="V31" s="26"/>
      <c r="W31" s="26"/>
      <c r="X31" s="26"/>
      <c r="Y31" s="26"/>
      <c r="Z31" s="26"/>
      <c r="AA31" s="26" t="s">
        <v>321</v>
      </c>
      <c r="AB31" s="26"/>
      <c r="AC31" s="26"/>
      <c r="AD31" s="26"/>
      <c r="AE31" s="26" t="s">
        <v>322</v>
      </c>
      <c r="AF31" s="26"/>
      <c r="AG31" s="26" t="s">
        <v>323</v>
      </c>
      <c r="AH31" s="26"/>
      <c r="AI31" s="26"/>
      <c r="AJ31" s="26"/>
      <c r="AK31" s="26"/>
      <c r="AL31" s="26"/>
      <c r="AM31" s="26">
        <v>40268</v>
      </c>
      <c r="AN31" s="26"/>
      <c r="AO31" s="26">
        <f>DATE(YEAR(J4),MONTH(J4)-MONTH(J4)+1,DAY(J4)-DAY(J4)+1)</f>
        <v>1</v>
      </c>
      <c r="AP31" s="26">
        <f>ROUND((AO31-AQ22)/365.25,2)</f>
        <v>-78.67</v>
      </c>
      <c r="AQ31" s="26"/>
      <c r="AR31" s="26"/>
      <c r="AS31" s="26">
        <v>16</v>
      </c>
      <c r="AT31" s="26">
        <v>37</v>
      </c>
      <c r="AU31" s="26" t="s">
        <v>59</v>
      </c>
      <c r="AV31" s="26"/>
      <c r="AW31" s="26"/>
      <c r="AX31" s="26"/>
      <c r="AY31" s="26"/>
      <c r="AZ31" s="26"/>
      <c r="BA31" s="26">
        <f>IF(24.75-BG61-BG62&lt;=0,0,IF((24.75-BG61-BG62)&gt;#REF!,#REF!*#REF!*0.6,(24.75-BG61-BG62)*#REF!*0.6))</f>
        <v>0</v>
      </c>
      <c r="BB31" s="26"/>
      <c r="BC31" s="26"/>
      <c r="BD31" s="26"/>
      <c r="BE31" s="26"/>
      <c r="BF31" s="26"/>
      <c r="BG31" s="26" t="s">
        <v>324</v>
      </c>
      <c r="BH31" s="26"/>
      <c r="BI31" s="26"/>
      <c r="BJ31" s="26">
        <f>IF(MONTH(AK25)&gt;9,0,MONTH(AK25)-1+DAY(AK25)/30)</f>
        <v>1.0333333333333334</v>
      </c>
      <c r="BK31" s="26"/>
      <c r="BL31" s="26" t="s">
        <v>325</v>
      </c>
      <c r="BM31" s="26" t="e">
        <f>IF(BM30=0,0,(BM30-(BG76*BM32)*12)-BP31)</f>
        <v>#REF!</v>
      </c>
      <c r="BN31" s="26" t="s">
        <v>326</v>
      </c>
      <c r="BO31" s="26" t="s">
        <v>327</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268</v>
      </c>
      <c r="DM31" s="26"/>
      <c r="DN31" s="26"/>
      <c r="DO31" s="26"/>
      <c r="DP31" s="26"/>
      <c r="DQ31" s="26"/>
      <c r="DR31" s="26"/>
      <c r="DS31" s="26"/>
      <c r="DT31" s="26"/>
    </row>
    <row r="32" spans="2:124" ht="17.25" customHeight="1" x14ac:dyDescent="0.3">
      <c r="B32" s="60" t="s">
        <v>328</v>
      </c>
      <c r="E32" s="35">
        <v>0</v>
      </c>
      <c r="F32" s="61">
        <f>F30*0.05*E32</f>
        <v>0</v>
      </c>
      <c r="G32" s="26"/>
      <c r="H32" s="26"/>
      <c r="I32" s="26"/>
      <c r="J32" s="26"/>
      <c r="K32" s="26" t="s">
        <v>330</v>
      </c>
      <c r="L32" s="26"/>
      <c r="M32" s="26"/>
      <c r="N32" s="26"/>
      <c r="O32" s="26" t="s">
        <v>62</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59</v>
      </c>
      <c r="AA32" s="26" t="s">
        <v>332</v>
      </c>
      <c r="AB32" s="26" t="s">
        <v>252</v>
      </c>
      <c r="AC32" s="26"/>
      <c r="AD32" s="26"/>
      <c r="AE32" s="26" t="e">
        <f>#REF!</f>
        <v>#REF!</v>
      </c>
      <c r="AF32" s="26"/>
      <c r="AG32" s="26">
        <f>BG76*'[1]נתוני מס'!I14</f>
        <v>574.75</v>
      </c>
      <c r="AH32" s="26"/>
      <c r="AI32" s="26"/>
      <c r="AJ32" s="26"/>
      <c r="AK32" s="26"/>
      <c r="AL32" s="26"/>
      <c r="AM32" s="26">
        <v>40298</v>
      </c>
      <c r="AN32" s="26"/>
      <c r="AO32" s="26"/>
      <c r="AP32" s="26"/>
      <c r="AQ32" s="26"/>
      <c r="AR32" s="26"/>
      <c r="AS32" s="26" t="s">
        <v>333</v>
      </c>
      <c r="AT32" s="26" t="s">
        <v>334</v>
      </c>
      <c r="AU32" s="26"/>
      <c r="AV32" s="26"/>
      <c r="AW32" s="26"/>
      <c r="AX32" s="26" t="s">
        <v>335</v>
      </c>
      <c r="AY32" s="26">
        <f>ROUND(H154,0)</f>
        <v>113</v>
      </c>
      <c r="AZ32" s="26"/>
      <c r="BA32" s="26" t="e">
        <f>IF(H159&lt;70%,IF(#REF!* 2% &gt;70%-H159,70%-H159,#REF!*2%),IF(H157+H158-H159&lt;=0,0,H157+H158-H159))</f>
        <v>#REF!</v>
      </c>
      <c r="BB32" s="26"/>
      <c r="BC32" s="26"/>
      <c r="BD32" s="26"/>
      <c r="BE32" s="26"/>
      <c r="BF32" s="26"/>
      <c r="BG32" s="26" t="s">
        <v>336</v>
      </c>
      <c r="BH32" s="26"/>
      <c r="BI32" s="26"/>
      <c r="BJ32" s="26">
        <f>MONTH(AK25)-1+DAY(AK25)/30</f>
        <v>1.0333333333333334</v>
      </c>
      <c r="BK32" s="26"/>
      <c r="BL32" s="26" t="s">
        <v>337</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268</v>
      </c>
      <c r="DM32" s="26"/>
      <c r="DN32" s="26"/>
      <c r="DO32" s="26"/>
      <c r="DP32" s="26"/>
      <c r="DQ32" s="26"/>
      <c r="DR32" s="26"/>
      <c r="DS32" s="26"/>
      <c r="DT32" s="26"/>
    </row>
    <row r="33" spans="2:124" ht="21" customHeight="1" x14ac:dyDescent="0.3">
      <c r="B33" s="60"/>
      <c r="C33" s="60"/>
      <c r="D33" s="206" t="s">
        <v>149</v>
      </c>
      <c r="E33" s="207"/>
      <c r="F33" s="59">
        <f>SUM(F30:F32)</f>
        <v>36</v>
      </c>
      <c r="G33" s="26"/>
      <c r="H33" s="26"/>
      <c r="I33" s="26"/>
      <c r="J33" s="26"/>
      <c r="K33" s="26"/>
      <c r="L33" s="26"/>
      <c r="M33" s="26"/>
      <c r="N33" s="26"/>
      <c r="O33" s="26" t="s">
        <v>329</v>
      </c>
      <c r="P33" s="26" t="e">
        <f>VLOOKUP(P32,טור12,2,1)</f>
        <v>#N/A</v>
      </c>
      <c r="Q33" s="26"/>
      <c r="R33" s="26"/>
      <c r="S33" s="26"/>
      <c r="T33" s="26" t="e">
        <f>IF(#REF!="כן",10%,0)</f>
        <v>#REF!</v>
      </c>
      <c r="U33" s="26">
        <f>(C135/24)</f>
        <v>0</v>
      </c>
      <c r="V33" s="26">
        <f>U33/(U32+U33)</f>
        <v>0</v>
      </c>
      <c r="W33" s="26" t="e">
        <f>T33*V33</f>
        <v>#REF!</v>
      </c>
      <c r="X33" s="26"/>
      <c r="Y33" s="26"/>
      <c r="Z33" s="26"/>
      <c r="AA33" s="26" t="s">
        <v>339</v>
      </c>
      <c r="AB33" s="26" t="s">
        <v>130</v>
      </c>
      <c r="AC33" s="26"/>
      <c r="AD33" s="26"/>
      <c r="AE33" s="26" t="s">
        <v>59</v>
      </c>
      <c r="AF33" s="26"/>
      <c r="AG33" s="26"/>
      <c r="AH33" s="26"/>
      <c r="AI33" s="26" t="s">
        <v>340</v>
      </c>
      <c r="AJ33" s="26" t="e">
        <f>Q26*0.36</f>
        <v>#REF!</v>
      </c>
      <c r="AK33" s="26"/>
      <c r="AL33" s="26"/>
      <c r="AM33" s="26">
        <v>40329</v>
      </c>
      <c r="AN33" s="26"/>
      <c r="AO33" s="26" t="s">
        <v>341</v>
      </c>
      <c r="AP33" s="26" t="s">
        <v>342</v>
      </c>
      <c r="AQ33" s="26"/>
      <c r="AR33" s="26"/>
      <c r="AS33" s="26">
        <v>17</v>
      </c>
      <c r="AT33" s="26">
        <v>38</v>
      </c>
      <c r="AU33" s="26"/>
      <c r="AV33" s="26"/>
      <c r="AW33" s="26"/>
      <c r="AX33" s="26" t="s">
        <v>343</v>
      </c>
      <c r="AY33" s="26" t="s">
        <v>59</v>
      </c>
      <c r="AZ33" s="26"/>
      <c r="BA33" s="26"/>
      <c r="BB33" s="26"/>
      <c r="BC33" s="26"/>
      <c r="BD33" s="26"/>
      <c r="BE33" s="26"/>
      <c r="BF33" s="26"/>
      <c r="BG33" s="26"/>
      <c r="BH33" s="26"/>
      <c r="BI33" s="26"/>
      <c r="BJ33" s="26"/>
      <c r="BK33" s="26"/>
      <c r="BL33" s="26" t="s">
        <v>344</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59</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345</v>
      </c>
      <c r="DM33" s="26"/>
      <c r="DN33" s="26"/>
      <c r="DO33" s="26"/>
      <c r="DP33" s="26"/>
      <c r="DQ33" s="26"/>
      <c r="DR33" s="26"/>
      <c r="DS33" s="26"/>
      <c r="DT33" s="26"/>
    </row>
    <row r="34" spans="2:124" ht="17.25" customHeight="1" x14ac:dyDescent="0.3">
      <c r="B34" s="52" t="s">
        <v>250</v>
      </c>
      <c r="C34" s="39">
        <v>0</v>
      </c>
      <c r="D34" s="26"/>
      <c r="E34" s="26"/>
      <c r="F34" s="26"/>
      <c r="G34" s="26"/>
      <c r="H34" s="26" t="s">
        <v>346</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348</v>
      </c>
      <c r="AT34" s="26" t="s">
        <v>349</v>
      </c>
      <c r="AU34" s="26"/>
      <c r="AV34" s="26"/>
      <c r="AW34" s="26"/>
      <c r="AX34" s="26" t="s">
        <v>350</v>
      </c>
      <c r="AY34" s="26">
        <f>(AY36*2)/100</f>
        <v>0.18833333333333332</v>
      </c>
      <c r="AZ34" s="26"/>
      <c r="BA34" s="26"/>
      <c r="BB34" s="26"/>
      <c r="BC34" s="26"/>
      <c r="BD34" s="26"/>
      <c r="BE34" s="26"/>
      <c r="BF34" s="26"/>
      <c r="BG34" s="26"/>
      <c r="BH34" s="26"/>
      <c r="BI34" s="26"/>
      <c r="BJ34" s="26"/>
      <c r="BK34" s="26" t="s">
        <v>59</v>
      </c>
      <c r="BL34" s="26" t="s">
        <v>351</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345</v>
      </c>
      <c r="DM34" s="26"/>
      <c r="DN34" s="26"/>
      <c r="DO34" s="26"/>
      <c r="DP34" s="26"/>
      <c r="DQ34" s="26"/>
      <c r="DR34" s="26"/>
      <c r="DS34" s="26"/>
      <c r="DT34" s="26"/>
    </row>
    <row r="35" spans="2:124" ht="12.75" customHeight="1" x14ac:dyDescent="0.3">
      <c r="B35" s="206"/>
      <c r="C35" s="207"/>
      <c r="D35" s="26"/>
      <c r="E35" s="26"/>
      <c r="F35" s="26"/>
      <c r="G35" s="26"/>
      <c r="H35" s="26">
        <f>IF(C14&gt;1%,"3%",0)</f>
        <v>0</v>
      </c>
      <c r="I35" s="26">
        <f>IF(C14&gt;1%,3,0)</f>
        <v>0</v>
      </c>
      <c r="J35" s="26" t="s">
        <v>352</v>
      </c>
      <c r="K35" s="26"/>
      <c r="L35" s="26"/>
      <c r="M35" s="26"/>
      <c r="N35" s="26"/>
      <c r="O35" s="26"/>
      <c r="P35" s="26"/>
      <c r="Q35" s="26"/>
      <c r="R35" s="26"/>
      <c r="S35" s="26"/>
      <c r="T35" s="26"/>
      <c r="U35" s="26"/>
      <c r="V35" s="26"/>
      <c r="W35" s="26"/>
      <c r="X35" s="26"/>
      <c r="Y35" s="26" t="s">
        <v>353</v>
      </c>
      <c r="Z35" s="26"/>
      <c r="AA35" s="26">
        <v>0</v>
      </c>
      <c r="AB35" s="26" t="s">
        <v>354</v>
      </c>
      <c r="AC35" s="26"/>
      <c r="AD35" s="26"/>
      <c r="AE35" s="26"/>
      <c r="AF35" s="26" t="s">
        <v>8</v>
      </c>
      <c r="AG35" s="26" t="s">
        <v>355</v>
      </c>
      <c r="AH35" s="26" t="s">
        <v>356</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345</v>
      </c>
      <c r="DM35" s="26"/>
      <c r="DN35" s="26"/>
      <c r="DO35" s="26"/>
      <c r="DP35" s="26"/>
      <c r="DQ35" s="26"/>
      <c r="DR35" s="26"/>
      <c r="DS35" s="26"/>
      <c r="DT35" s="26"/>
    </row>
    <row r="36" spans="2:124" ht="17.25" customHeight="1" x14ac:dyDescent="0.3">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357</v>
      </c>
      <c r="Z36" s="26"/>
      <c r="AA36" s="26" t="s">
        <v>358</v>
      </c>
      <c r="AB36" s="26" t="s">
        <v>359</v>
      </c>
      <c r="AC36" s="26"/>
      <c r="AD36" s="26"/>
      <c r="AE36" s="26"/>
      <c r="AF36" s="26" t="s">
        <v>71</v>
      </c>
      <c r="AG36" s="26">
        <f>IF(BC24&lt;AF29,BC24-INT(BC24),0)</f>
        <v>0</v>
      </c>
      <c r="AH36" s="26" t="s">
        <v>360</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361</v>
      </c>
      <c r="AT36" s="26" t="s">
        <v>362</v>
      </c>
      <c r="AU36" s="26"/>
      <c r="AV36" s="26"/>
      <c r="AW36" s="26"/>
      <c r="AX36" s="26" t="s">
        <v>363</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345</v>
      </c>
      <c r="DM36" s="26"/>
      <c r="DN36" s="26"/>
      <c r="DO36" s="26"/>
      <c r="DP36" s="26"/>
      <c r="DQ36" s="26"/>
      <c r="DR36" s="26"/>
      <c r="DS36" s="26"/>
      <c r="DT36" s="26"/>
    </row>
    <row r="37" spans="2:124" ht="17.25" customHeight="1" x14ac:dyDescent="0.3">
      <c r="B37" s="26" t="s">
        <v>364</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304</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365</v>
      </c>
      <c r="BB37" s="26" t="s">
        <v>366</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345</v>
      </c>
      <c r="DM37" s="26"/>
      <c r="DN37" s="26"/>
      <c r="DO37" s="26"/>
      <c r="DP37" s="26"/>
      <c r="DQ37" s="26"/>
      <c r="DR37" s="26"/>
      <c r="DS37" s="26"/>
      <c r="DT37" s="26"/>
    </row>
    <row r="38" spans="2:124" ht="7.5" customHeight="1" x14ac:dyDescent="0.3">
      <c r="B38" s="26" t="s">
        <v>367</v>
      </c>
      <c r="C38" s="26" t="s">
        <v>29</v>
      </c>
      <c r="D38" s="26" t="s">
        <v>368</v>
      </c>
      <c r="E38" s="26"/>
      <c r="F38" s="26"/>
      <c r="G38" s="26"/>
      <c r="H38" s="26"/>
      <c r="I38" s="26"/>
      <c r="J38" s="26" t="s">
        <v>59</v>
      </c>
      <c r="K38" s="26" t="s">
        <v>369</v>
      </c>
      <c r="L38" s="26"/>
      <c r="M38" s="26"/>
      <c r="N38" s="26"/>
      <c r="O38" s="26"/>
      <c r="P38" s="26"/>
      <c r="Q38" s="26"/>
      <c r="R38" s="26"/>
      <c r="S38" s="26"/>
      <c r="T38" s="26"/>
      <c r="U38" s="26"/>
      <c r="V38" s="26"/>
      <c r="W38" s="26"/>
      <c r="X38" s="26"/>
      <c r="Y38" s="26"/>
      <c r="Z38" s="26"/>
      <c r="AA38" s="26"/>
      <c r="AB38" s="26"/>
      <c r="AC38" s="26"/>
      <c r="AD38" s="26"/>
      <c r="AE38" s="26" t="e">
        <f>35%*AE39</f>
        <v>#REF!</v>
      </c>
      <c r="AF38" s="26" t="s">
        <v>370</v>
      </c>
      <c r="AG38" s="26">
        <f>YEAR(AK25)-YEAR(J4)</f>
        <v>111</v>
      </c>
      <c r="AH38" s="26"/>
      <c r="AI38" s="26"/>
      <c r="AJ38" s="26"/>
      <c r="AK38" s="26"/>
      <c r="AL38" s="26"/>
      <c r="AM38" s="26">
        <v>40482</v>
      </c>
      <c r="AN38" s="26"/>
      <c r="AO38" s="26"/>
      <c r="AP38" s="26"/>
      <c r="AQ38" s="26"/>
      <c r="AR38" s="26"/>
      <c r="AS38" s="26" t="s">
        <v>371</v>
      </c>
      <c r="AT38" s="26" t="s">
        <v>372</v>
      </c>
      <c r="AU38" s="26"/>
      <c r="AV38" s="26"/>
      <c r="AW38" s="26"/>
      <c r="AX38" s="26"/>
      <c r="AY38" s="26" t="s">
        <v>373</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59</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345</v>
      </c>
      <c r="DM38" s="26"/>
      <c r="DN38" s="26"/>
      <c r="DO38" s="26"/>
      <c r="DP38" s="26"/>
      <c r="DQ38" s="26"/>
      <c r="DR38" s="26"/>
      <c r="DS38" s="26"/>
      <c r="DT38" s="26"/>
    </row>
    <row r="39" spans="2:124" ht="11.25" customHeight="1" x14ac:dyDescent="0.3">
      <c r="B39" s="26" t="s">
        <v>374</v>
      </c>
      <c r="C39" s="26">
        <f>IF($C$38="א-ו",J111,IF($C$38="ז-ח",J112,IF($C$38="חטיבת ביניים",J112-2.5%,#REF!)))</f>
        <v>0</v>
      </c>
      <c r="D39" s="26" t="s">
        <v>375</v>
      </c>
      <c r="E39" s="26"/>
      <c r="F39" s="26"/>
      <c r="G39" s="26"/>
      <c r="H39" s="26"/>
      <c r="I39" s="26">
        <v>3</v>
      </c>
      <c r="J39" s="26">
        <f>IF(C21=S723,1*L853,IF(C21=S724,0.75*L853,IF(C21=S725,0.6836*L853,0.5948*L853)))</f>
        <v>0.5948</v>
      </c>
      <c r="K39" s="26"/>
      <c r="L39" s="26" t="s">
        <v>291</v>
      </c>
      <c r="M39" s="26" t="s">
        <v>182</v>
      </c>
      <c r="N39" s="26"/>
      <c r="O39" s="26" t="e">
        <f>IF(#REF!="כן",10%,0)</f>
        <v>#REF!</v>
      </c>
      <c r="P39" s="26" t="e">
        <f>(#REF!/24)</f>
        <v>#REF!</v>
      </c>
      <c r="Q39" s="26" t="e">
        <f>P39/(P40+P39)</f>
        <v>#REF!</v>
      </c>
      <c r="R39" s="26" t="e">
        <f>O39*Q39</f>
        <v>#REF!</v>
      </c>
      <c r="S39" s="26"/>
      <c r="T39" s="26"/>
      <c r="U39" s="26"/>
      <c r="V39" s="26"/>
      <c r="W39" s="26"/>
      <c r="X39" s="26"/>
      <c r="Y39" s="26"/>
      <c r="Z39" s="26"/>
      <c r="AA39" s="26" t="s">
        <v>376</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377</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378</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345</v>
      </c>
      <c r="DM39" s="26"/>
      <c r="DN39" s="26"/>
      <c r="DO39" s="26"/>
      <c r="DP39" s="26"/>
      <c r="DQ39" s="26"/>
      <c r="DR39" s="26"/>
      <c r="DS39" s="26"/>
      <c r="DT39" s="26"/>
    </row>
    <row r="40" spans="2:124" ht="11.25" customHeight="1" x14ac:dyDescent="0.3">
      <c r="B40" s="26"/>
      <c r="C40" s="26"/>
      <c r="D40" s="26"/>
      <c r="E40" s="26"/>
      <c r="F40" s="26"/>
      <c r="G40" s="26"/>
      <c r="H40" s="26"/>
      <c r="I40" s="26">
        <f t="shared" ref="I40:I45" si="2">I39+1</f>
        <v>4</v>
      </c>
      <c r="J40" s="26">
        <v>0</v>
      </c>
      <c r="K40" s="26"/>
      <c r="L40" s="26" t="s">
        <v>300</v>
      </c>
      <c r="M40" s="26" t="s">
        <v>288</v>
      </c>
      <c r="N40" s="26" t="s">
        <v>289</v>
      </c>
      <c r="O40" s="26"/>
      <c r="P40" s="26" t="e">
        <f>#REF!/30</f>
        <v>#REF!</v>
      </c>
      <c r="Q40" s="26" t="e">
        <f>P40/(P39+P40)</f>
        <v>#REF!</v>
      </c>
      <c r="R40" s="26" t="e">
        <f>Q40*O39</f>
        <v>#REF!</v>
      </c>
      <c r="S40" s="26"/>
      <c r="T40" s="26"/>
      <c r="U40" s="26"/>
      <c r="V40" s="26"/>
      <c r="W40" s="26"/>
      <c r="X40" s="26"/>
      <c r="Y40" s="26"/>
      <c r="Z40" s="26"/>
      <c r="AA40" s="26" t="s">
        <v>379</v>
      </c>
      <c r="AB40" s="26">
        <v>0</v>
      </c>
      <c r="AC40" s="26"/>
      <c r="AD40" s="26"/>
      <c r="AE40" s="26"/>
      <c r="AF40" s="26"/>
      <c r="AG40" s="26"/>
      <c r="AH40" s="26" t="s">
        <v>360</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380</v>
      </c>
      <c r="AT40" s="26" t="s">
        <v>381</v>
      </c>
      <c r="AU40" s="26"/>
      <c r="AV40" s="26"/>
      <c r="AW40" s="26"/>
      <c r="AX40" s="26"/>
      <c r="AY40" s="26"/>
      <c r="AZ40" s="26"/>
      <c r="BA40" s="26"/>
      <c r="BB40" s="26"/>
      <c r="BC40" s="26"/>
      <c r="BD40" s="26"/>
      <c r="BE40" s="26"/>
      <c r="BF40" s="26"/>
      <c r="BG40" s="26"/>
      <c r="BH40" s="26"/>
      <c r="BI40" s="26"/>
      <c r="BJ40" s="26" t="s">
        <v>59</v>
      </c>
      <c r="BK40" s="26" t="s">
        <v>382</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345</v>
      </c>
      <c r="DM40" s="26"/>
      <c r="DN40" s="26"/>
      <c r="DO40" s="26"/>
      <c r="DP40" s="26"/>
      <c r="DQ40" s="26"/>
      <c r="DR40" s="26"/>
      <c r="DS40" s="26"/>
      <c r="DT40" s="26"/>
    </row>
    <row r="41" spans="2:124" ht="11.25" customHeight="1" x14ac:dyDescent="0.3">
      <c r="B41" s="26"/>
      <c r="C41" s="26"/>
      <c r="D41" s="26"/>
      <c r="E41" s="26"/>
      <c r="F41" s="26"/>
      <c r="G41" s="26"/>
      <c r="H41" s="26"/>
      <c r="I41" s="26">
        <f t="shared" si="2"/>
        <v>5</v>
      </c>
      <c r="J41" s="26" t="s">
        <v>59</v>
      </c>
      <c r="K41" s="26"/>
      <c r="L41" s="26" t="s">
        <v>312</v>
      </c>
      <c r="M41" s="26">
        <v>2</v>
      </c>
      <c r="N41" s="26">
        <v>3</v>
      </c>
      <c r="O41" s="26"/>
      <c r="P41" s="26"/>
      <c r="Q41" s="26"/>
      <c r="R41" s="26"/>
      <c r="S41" s="26"/>
      <c r="T41" s="26"/>
      <c r="U41" s="26"/>
      <c r="V41" s="26"/>
      <c r="W41" s="26"/>
      <c r="X41" s="26"/>
      <c r="Y41" s="26"/>
      <c r="Z41" s="26"/>
      <c r="AA41" s="26"/>
      <c r="AB41" s="26"/>
      <c r="AC41" s="26"/>
      <c r="AD41" s="26"/>
      <c r="AE41" s="26" t="s">
        <v>383</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384</v>
      </c>
      <c r="AZ41" s="26" t="s">
        <v>385</v>
      </c>
      <c r="BA41" s="26"/>
      <c r="BB41" s="26"/>
      <c r="BC41" s="26"/>
      <c r="BD41" s="26"/>
      <c r="BE41" s="26"/>
      <c r="BF41" s="26"/>
      <c r="BG41" s="26"/>
      <c r="BH41" s="26"/>
      <c r="BI41" s="26"/>
      <c r="BJ41" s="26"/>
      <c r="BK41" s="26" t="s">
        <v>386</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345</v>
      </c>
      <c r="DM41" s="26"/>
      <c r="DN41" s="26"/>
      <c r="DO41" s="26"/>
      <c r="DP41" s="26"/>
      <c r="DQ41" s="26"/>
      <c r="DR41" s="26"/>
      <c r="DS41" s="26"/>
      <c r="DT41" s="26"/>
    </row>
    <row r="42" spans="2:124" ht="11.25" customHeight="1" x14ac:dyDescent="0.3">
      <c r="B42" s="26"/>
      <c r="C42" s="26"/>
      <c r="D42" s="26"/>
      <c r="E42" s="26"/>
      <c r="F42" s="26"/>
      <c r="G42" s="26"/>
      <c r="H42" s="26"/>
      <c r="I42" s="26">
        <f t="shared" si="2"/>
        <v>6</v>
      </c>
      <c r="J42" s="26" t="s">
        <v>59</v>
      </c>
      <c r="K42" s="26"/>
      <c r="L42" s="26" t="s">
        <v>320</v>
      </c>
      <c r="M42" s="26">
        <f>M41*2.2</f>
        <v>4.4000000000000004</v>
      </c>
      <c r="N42" s="26">
        <f>N41*2</f>
        <v>6</v>
      </c>
      <c r="O42" s="26"/>
      <c r="P42" s="26"/>
      <c r="Q42" s="26"/>
      <c r="R42" s="26"/>
      <c r="S42" s="26"/>
      <c r="T42" s="26"/>
      <c r="U42" s="26"/>
      <c r="V42" s="26"/>
      <c r="W42" s="26"/>
      <c r="X42" s="26"/>
      <c r="Y42" s="26"/>
      <c r="Z42" s="26"/>
      <c r="AA42" s="26" t="s">
        <v>257</v>
      </c>
      <c r="AB42" s="26">
        <f>BG61</f>
        <v>33</v>
      </c>
      <c r="AC42" s="26"/>
      <c r="AD42" s="26"/>
      <c r="AE42" s="26" t="s">
        <v>387</v>
      </c>
      <c r="AF42" s="26" t="e">
        <f>#REF!*AF41</f>
        <v>#REF!</v>
      </c>
      <c r="AG42" s="26"/>
      <c r="AH42" s="26"/>
      <c r="AI42" s="26"/>
      <c r="AJ42" s="26"/>
      <c r="AK42" s="26"/>
      <c r="AL42" s="26"/>
      <c r="AM42" s="26"/>
      <c r="AN42" s="26"/>
      <c r="AO42" s="26">
        <f>ROUND((AK25-AO41)/365.25,2)</f>
        <v>0.08</v>
      </c>
      <c r="AP42" s="26"/>
      <c r="AQ42" s="26"/>
      <c r="AR42" s="26"/>
      <c r="AS42" s="26" t="s">
        <v>388</v>
      </c>
      <c r="AT42" s="26" t="s">
        <v>389</v>
      </c>
      <c r="AU42" s="26"/>
      <c r="AV42" s="26"/>
      <c r="AW42" s="26"/>
      <c r="AX42" s="26" t="s">
        <v>390</v>
      </c>
      <c r="AY42" s="26"/>
      <c r="AZ42" s="26" t="e">
        <f>#REF!</f>
        <v>#REF!</v>
      </c>
      <c r="BA42" s="26" t="s">
        <v>391</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345</v>
      </c>
      <c r="DM42" s="26"/>
      <c r="DN42" s="26"/>
      <c r="DO42" s="26"/>
      <c r="DP42" s="26"/>
      <c r="DQ42" s="26"/>
      <c r="DR42" s="26"/>
      <c r="DS42" s="26"/>
      <c r="DT42" s="26"/>
    </row>
    <row r="43" spans="2:124" ht="11.25" customHeight="1" x14ac:dyDescent="0.3">
      <c r="B43" s="26"/>
      <c r="C43" s="26"/>
      <c r="D43" s="26"/>
      <c r="E43" s="26"/>
      <c r="F43" s="26"/>
      <c r="G43" s="26"/>
      <c r="H43" s="26"/>
      <c r="I43" s="26">
        <f t="shared" si="2"/>
        <v>7</v>
      </c>
      <c r="J43" s="26" t="s">
        <v>59</v>
      </c>
      <c r="K43" s="26"/>
      <c r="L43" s="26" t="s">
        <v>331</v>
      </c>
      <c r="M43" s="26"/>
      <c r="N43" s="26"/>
      <c r="O43" s="26"/>
      <c r="P43" s="26" t="s">
        <v>59</v>
      </c>
      <c r="Q43" s="26"/>
      <c r="R43" s="26"/>
      <c r="S43" s="26"/>
      <c r="T43" s="26"/>
      <c r="U43" s="26"/>
      <c r="V43" s="26"/>
      <c r="W43" s="26"/>
      <c r="X43" s="26"/>
      <c r="Y43" s="26"/>
      <c r="Z43" s="26"/>
      <c r="AA43" s="26" t="s">
        <v>2</v>
      </c>
      <c r="AB43" s="26">
        <f>IF(W18&gt;36,36,W18)</f>
        <v>0</v>
      </c>
      <c r="AC43" s="26"/>
      <c r="AD43" s="26"/>
      <c r="AE43" s="26" t="s">
        <v>392</v>
      </c>
      <c r="AF43" s="26"/>
      <c r="AG43" s="26"/>
      <c r="AH43" s="26"/>
      <c r="AI43" s="26" t="s">
        <v>393</v>
      </c>
      <c r="AJ43" s="26" t="s">
        <v>394</v>
      </c>
      <c r="AK43" s="26"/>
      <c r="AL43" s="26"/>
      <c r="AM43" s="26"/>
      <c r="AN43" s="26"/>
      <c r="AO43" s="26"/>
      <c r="AP43" s="26"/>
      <c r="AQ43" s="26"/>
      <c r="AR43" s="26"/>
      <c r="AS43" s="26">
        <v>22</v>
      </c>
      <c r="AT43" s="26">
        <v>43</v>
      </c>
      <c r="AU43" s="26"/>
      <c r="AV43" s="26"/>
      <c r="AW43" s="26"/>
      <c r="AX43" s="26" t="s">
        <v>59</v>
      </c>
      <c r="AY43" s="26">
        <v>12</v>
      </c>
      <c r="AZ43" s="26" t="s">
        <v>395</v>
      </c>
      <c r="BA43" s="26" t="e">
        <f>12*AZ42</f>
        <v>#REF!</v>
      </c>
      <c r="BB43" s="26"/>
      <c r="BC43" s="26"/>
      <c r="BD43" s="26"/>
      <c r="BE43" s="26"/>
      <c r="BF43" s="26" t="s">
        <v>59</v>
      </c>
      <c r="BG43" s="26"/>
      <c r="BH43" s="26"/>
      <c r="BI43" s="26"/>
      <c r="BJ43" s="26" t="s">
        <v>396</v>
      </c>
      <c r="BK43" s="26"/>
      <c r="BL43" s="26"/>
      <c r="BM43" s="26"/>
      <c r="BN43" s="26"/>
      <c r="BO43" s="26"/>
      <c r="BP43" s="26"/>
      <c r="BQ43" s="26" t="s">
        <v>397</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398</v>
      </c>
      <c r="CW43" s="26">
        <v>63.5</v>
      </c>
      <c r="CX43" s="26"/>
      <c r="CY43" s="26"/>
      <c r="CZ43" s="26">
        <v>32</v>
      </c>
      <c r="DA43" s="26">
        <v>56.1</v>
      </c>
      <c r="DB43" s="26">
        <v>56.14</v>
      </c>
      <c r="DC43" s="26"/>
      <c r="DD43" s="26"/>
      <c r="DE43" s="26"/>
      <c r="DF43" s="26"/>
      <c r="DG43" s="26"/>
      <c r="DH43" s="26"/>
      <c r="DI43" s="26"/>
      <c r="DJ43" s="26"/>
      <c r="DK43" s="26"/>
      <c r="DL43" s="26" t="s">
        <v>399</v>
      </c>
      <c r="DM43" s="26"/>
      <c r="DN43" s="26"/>
      <c r="DO43" s="26"/>
      <c r="DP43" s="26"/>
      <c r="DQ43" s="26"/>
      <c r="DR43" s="26"/>
      <c r="DS43" s="26"/>
      <c r="DT43" s="26"/>
    </row>
    <row r="44" spans="2:124" ht="11.25" customHeight="1" x14ac:dyDescent="0.3">
      <c r="B44" s="26"/>
      <c r="C44" s="26"/>
      <c r="D44" s="26"/>
      <c r="E44" s="26"/>
      <c r="F44" s="26"/>
      <c r="G44" s="26"/>
      <c r="H44" s="26"/>
      <c r="I44" s="26">
        <f t="shared" si="2"/>
        <v>8</v>
      </c>
      <c r="J44" s="26" t="s">
        <v>59</v>
      </c>
      <c r="K44" s="26"/>
      <c r="L44" s="26" t="s">
        <v>338</v>
      </c>
      <c r="M44" s="26"/>
      <c r="N44" s="26"/>
      <c r="O44" s="26" t="s">
        <v>278</v>
      </c>
      <c r="P44" s="26" t="e">
        <f t="shared" ref="P44:P61" si="3">HLOOKUP($C$5,$G$115:$L$132,ROW()-43,0)</f>
        <v>#N/A</v>
      </c>
      <c r="Q44" s="26"/>
      <c r="R44" s="26" t="s">
        <v>278</v>
      </c>
      <c r="S44" s="26"/>
      <c r="T44" s="26"/>
      <c r="U44" s="26"/>
      <c r="V44" s="26"/>
      <c r="W44" s="26"/>
      <c r="X44" s="26"/>
      <c r="Y44" s="26"/>
      <c r="Z44" s="26"/>
      <c r="AA44" s="26" t="s">
        <v>400</v>
      </c>
      <c r="AB44" s="26">
        <v>1</v>
      </c>
      <c r="AC44" s="26"/>
      <c r="AD44" s="26"/>
      <c r="AE44" s="26" t="e">
        <f>IF(#REF!&gt;0,#REF!/'[1]נתוני מס'!N16,0)</f>
        <v>#REF!</v>
      </c>
      <c r="AF44" s="26" t="s">
        <v>401</v>
      </c>
      <c r="AG44" s="26" t="s">
        <v>402</v>
      </c>
      <c r="AH44" s="26" t="s">
        <v>198</v>
      </c>
      <c r="AI44" s="26"/>
      <c r="AJ44" s="26">
        <f>C151</f>
        <v>174.47</v>
      </c>
      <c r="AK44" s="26"/>
      <c r="AL44" s="26"/>
      <c r="AM44" s="26"/>
      <c r="AN44" s="26"/>
      <c r="AO44" s="26"/>
      <c r="AP44" s="26"/>
      <c r="AQ44" s="26"/>
      <c r="AR44" s="26"/>
      <c r="AS44" s="26" t="s">
        <v>403</v>
      </c>
      <c r="AT44" s="26" t="s">
        <v>404</v>
      </c>
      <c r="AU44" s="26"/>
      <c r="AV44" s="26"/>
      <c r="AW44" s="26"/>
      <c r="AX44" s="26" t="s">
        <v>405</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406</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3">
      <c r="B45" s="26"/>
      <c r="C45" s="26"/>
      <c r="D45" s="26"/>
      <c r="E45" s="26"/>
      <c r="F45" s="26"/>
      <c r="G45" s="26"/>
      <c r="H45" s="26"/>
      <c r="I45" s="26">
        <f t="shared" si="2"/>
        <v>9</v>
      </c>
      <c r="J45" s="26" t="s">
        <v>59</v>
      </c>
      <c r="K45" s="26"/>
      <c r="L45" s="26" t="s">
        <v>347</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407</v>
      </c>
      <c r="AG45" s="26" t="s">
        <v>408</v>
      </c>
      <c r="AH45" s="26" t="s">
        <v>71</v>
      </c>
      <c r="AI45" s="26"/>
      <c r="AJ45" s="26"/>
      <c r="AK45" s="26" t="s">
        <v>409</v>
      </c>
      <c r="AL45" s="26">
        <f>IF(AB17=AH44,0.01%,0)</f>
        <v>0</v>
      </c>
      <c r="AM45" s="26"/>
      <c r="AN45" s="26"/>
      <c r="AO45" s="26" t="s">
        <v>351</v>
      </c>
      <c r="AP45" s="26"/>
      <c r="AQ45" s="26"/>
      <c r="AR45" s="26"/>
      <c r="AS45" s="26">
        <v>23</v>
      </c>
      <c r="AT45" s="26">
        <v>44</v>
      </c>
      <c r="AU45" s="26"/>
      <c r="AV45" s="26"/>
      <c r="AW45" s="26"/>
      <c r="AX45" s="26"/>
      <c r="AY45" s="26"/>
      <c r="AZ45" s="26" t="s">
        <v>410</v>
      </c>
      <c r="BA45" s="26" t="e">
        <f>BF48</f>
        <v>#REF!</v>
      </c>
      <c r="BB45" s="26"/>
      <c r="BC45" s="26" t="s">
        <v>411</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3">
      <c r="B46" s="26"/>
      <c r="C46" s="26"/>
      <c r="D46" s="26"/>
      <c r="E46" s="26"/>
      <c r="F46" s="26"/>
      <c r="G46" s="26"/>
      <c r="H46" s="26"/>
      <c r="I46" s="26"/>
      <c r="J46" s="26" t="s">
        <v>328</v>
      </c>
      <c r="K46" s="26" t="e">
        <f>#REF!*0.05*L46</f>
        <v>#REF!</v>
      </c>
      <c r="L46" s="26">
        <v>0</v>
      </c>
      <c r="M46" s="26"/>
      <c r="N46" s="26"/>
      <c r="O46" s="26">
        <v>1.5</v>
      </c>
      <c r="P46" s="26" t="e">
        <f t="shared" si="3"/>
        <v>#N/A</v>
      </c>
      <c r="Q46" s="26"/>
      <c r="R46" s="26">
        <v>1.5</v>
      </c>
      <c r="S46" s="26">
        <v>1104.83</v>
      </c>
      <c r="T46" s="26"/>
      <c r="U46" s="26"/>
      <c r="V46" s="26"/>
      <c r="W46" s="26"/>
      <c r="X46" s="26"/>
      <c r="Y46" s="26"/>
      <c r="Z46" s="26"/>
      <c r="AA46" s="26" t="s">
        <v>412</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413</v>
      </c>
      <c r="AT46" s="26" t="s">
        <v>414</v>
      </c>
      <c r="AU46" s="26"/>
      <c r="AV46" s="26"/>
      <c r="AW46" s="26"/>
      <c r="AX46" s="26"/>
      <c r="AY46" s="26"/>
      <c r="AZ46" s="26"/>
      <c r="BA46" s="26"/>
      <c r="BB46" s="26"/>
      <c r="BC46" s="26" t="s">
        <v>415</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3">
      <c r="B47" s="26"/>
      <c r="C47" s="26"/>
      <c r="D47" s="26"/>
      <c r="E47" s="26"/>
      <c r="F47" s="26"/>
      <c r="G47" s="26"/>
      <c r="H47" s="26"/>
      <c r="I47" s="26"/>
      <c r="J47" s="26"/>
      <c r="K47" s="26" t="e">
        <f>SUM(K46:K46)</f>
        <v>#REF!</v>
      </c>
      <c r="L47" s="26" t="s">
        <v>416</v>
      </c>
      <c r="M47" s="26" t="e">
        <f>VLOOKUP(I31,טור12,2,0)</f>
        <v>#N/A</v>
      </c>
      <c r="N47" s="26"/>
      <c r="O47" s="26">
        <v>2</v>
      </c>
      <c r="P47" s="26" t="e">
        <f t="shared" si="3"/>
        <v>#N/A</v>
      </c>
      <c r="Q47" s="26"/>
      <c r="R47" s="26">
        <v>2</v>
      </c>
      <c r="S47" s="26">
        <v>1036.1400000000001</v>
      </c>
      <c r="T47" s="26"/>
      <c r="U47" s="26"/>
      <c r="V47" s="26"/>
      <c r="W47" s="26"/>
      <c r="X47" s="26"/>
      <c r="Y47" s="26"/>
      <c r="Z47" s="26" t="s">
        <v>417</v>
      </c>
      <c r="AA47" s="26"/>
      <c r="AB47" s="26"/>
      <c r="AC47" s="26"/>
      <c r="AD47" s="26"/>
      <c r="AE47" s="26"/>
      <c r="AF47" s="26" t="s">
        <v>418</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386</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3">
      <c r="B48" s="26"/>
      <c r="C48" s="26"/>
      <c r="D48" s="26"/>
      <c r="E48" s="26"/>
      <c r="F48" s="26"/>
      <c r="G48" s="26"/>
      <c r="H48" s="26"/>
      <c r="I48" s="26"/>
      <c r="J48" s="26"/>
      <c r="K48" s="26"/>
      <c r="L48" s="26" t="s">
        <v>301</v>
      </c>
      <c r="M48" s="26">
        <f>IF(H42=0,0,H44-M47)</f>
        <v>0</v>
      </c>
      <c r="N48" s="26"/>
      <c r="O48" s="26">
        <v>2.5</v>
      </c>
      <c r="P48" s="26" t="e">
        <f t="shared" si="3"/>
        <v>#N/A</v>
      </c>
      <c r="Q48" s="26"/>
      <c r="R48" s="26">
        <v>2.5</v>
      </c>
      <c r="S48" s="26">
        <v>952.99</v>
      </c>
      <c r="T48" s="26"/>
      <c r="U48" s="26"/>
      <c r="V48" s="26"/>
      <c r="W48" s="26"/>
      <c r="X48" s="26"/>
      <c r="Y48" s="26"/>
      <c r="Z48" s="26"/>
      <c r="AA48" s="26" t="s">
        <v>419</v>
      </c>
      <c r="AB48" s="26" t="e">
        <f>#REF!+(#REF!+#REF!+#REF!)/12</f>
        <v>#REF!</v>
      </c>
      <c r="AC48" s="26"/>
      <c r="AD48" s="26"/>
      <c r="AE48" s="26"/>
      <c r="AF48" s="26"/>
      <c r="AG48" s="26" t="s">
        <v>59</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3">
      <c r="B49" s="26"/>
      <c r="C49" s="26"/>
      <c r="D49" s="26"/>
      <c r="E49" s="26"/>
      <c r="F49" s="26"/>
      <c r="G49" s="26"/>
      <c r="H49" s="26"/>
      <c r="I49" s="26"/>
      <c r="J49" s="26"/>
      <c r="K49" s="26"/>
      <c r="L49" s="26" t="s">
        <v>420</v>
      </c>
      <c r="M49" s="26" t="e">
        <f>M47+M48</f>
        <v>#N/A</v>
      </c>
      <c r="N49" s="26"/>
      <c r="O49" s="26">
        <v>3</v>
      </c>
      <c r="P49" s="26" t="e">
        <f t="shared" si="3"/>
        <v>#N/A</v>
      </c>
      <c r="Q49" s="26"/>
      <c r="R49" s="26">
        <v>3</v>
      </c>
      <c r="S49" s="26">
        <v>869.86</v>
      </c>
      <c r="T49" s="26"/>
      <c r="U49" s="26"/>
      <c r="V49" s="26" t="s">
        <v>59</v>
      </c>
      <c r="W49" s="26"/>
      <c r="X49" s="26"/>
      <c r="Y49" s="26"/>
      <c r="Z49" s="26" t="e">
        <f>(1-#REF!/#REF!)*#REF!</f>
        <v>#REF!</v>
      </c>
      <c r="AA49" s="26" t="s">
        <v>421</v>
      </c>
      <c r="AB49" s="26" t="e">
        <f>#REF!+(#REF!+#REF!)/12</f>
        <v>#REF!</v>
      </c>
      <c r="AC49" s="26"/>
      <c r="AD49" s="26"/>
      <c r="AE49" s="26"/>
      <c r="AF49" s="26"/>
      <c r="AG49" s="26" t="s">
        <v>59</v>
      </c>
      <c r="AH49" s="26"/>
      <c r="AI49" s="26"/>
      <c r="AJ49" s="26"/>
      <c r="AK49" s="26"/>
      <c r="AL49" s="26"/>
      <c r="AM49" s="26"/>
      <c r="AN49" s="26"/>
      <c r="AO49" s="26"/>
      <c r="AP49" s="26"/>
      <c r="AQ49" s="26"/>
      <c r="AR49" s="26"/>
      <c r="AS49" s="26" t="s">
        <v>422</v>
      </c>
      <c r="AT49" s="26" t="s">
        <v>423</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3">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424</v>
      </c>
      <c r="AB50" s="26" t="e">
        <f>#REF!</f>
        <v>#REF!</v>
      </c>
      <c r="AC50" s="26"/>
      <c r="AD50" s="26"/>
      <c r="AE50" s="26"/>
      <c r="AF50" s="26"/>
      <c r="AG50" s="26" t="s">
        <v>59</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3">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59</v>
      </c>
      <c r="AB51" s="26"/>
      <c r="AC51" s="26"/>
      <c r="AD51" s="26"/>
      <c r="AE51" s="26"/>
      <c r="AF51" s="26"/>
      <c r="AG51" s="26" t="s">
        <v>59</v>
      </c>
      <c r="AH51" s="26"/>
      <c r="AI51" s="26"/>
      <c r="AJ51" s="26"/>
      <c r="AK51" s="26"/>
      <c r="AL51" s="26"/>
      <c r="AM51" s="26"/>
      <c r="AN51" s="26"/>
      <c r="AO51" s="26"/>
      <c r="AP51" s="26"/>
      <c r="AQ51" s="26"/>
      <c r="AR51" s="26"/>
      <c r="AS51" s="26" t="s">
        <v>425</v>
      </c>
      <c r="AT51" s="26" t="s">
        <v>426</v>
      </c>
      <c r="AU51" s="26"/>
      <c r="AV51" s="26"/>
      <c r="AW51" s="26"/>
      <c r="AX51" s="26"/>
      <c r="AY51" s="26"/>
      <c r="AZ51" s="26"/>
      <c r="BA51" s="26"/>
      <c r="BB51" s="26"/>
      <c r="BC51" s="26"/>
      <c r="BD51" s="26"/>
      <c r="BE51" s="26" t="s">
        <v>427</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3">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3">
      <c r="B53" s="26"/>
      <c r="C53" s="26"/>
      <c r="D53" s="26"/>
      <c r="E53" s="26"/>
      <c r="F53" s="26"/>
      <c r="G53" s="26"/>
      <c r="H53" s="26"/>
      <c r="I53" s="26"/>
      <c r="J53" s="26"/>
      <c r="K53" s="26" t="s">
        <v>428</v>
      </c>
      <c r="L53" s="26" t="s">
        <v>429</v>
      </c>
      <c r="M53" s="26"/>
      <c r="N53" s="26"/>
      <c r="O53" s="26">
        <v>5</v>
      </c>
      <c r="P53" s="26" t="e">
        <f t="shared" si="3"/>
        <v>#N/A</v>
      </c>
      <c r="Q53" s="26"/>
      <c r="R53" s="26">
        <v>5</v>
      </c>
      <c r="S53" s="26">
        <v>593.47</v>
      </c>
      <c r="T53" s="26"/>
      <c r="U53" s="26"/>
      <c r="V53" s="26"/>
      <c r="W53" s="26"/>
      <c r="X53" s="26"/>
      <c r="Y53" s="26"/>
      <c r="Z53" s="26"/>
      <c r="AA53" s="26" t="s">
        <v>430</v>
      </c>
      <c r="AB53" s="26"/>
      <c r="AC53" s="26" t="s">
        <v>424</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3">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3">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3">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3">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3">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431</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3">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3">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432</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433</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3">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59</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3">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434</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3">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275</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3">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3">
      <c r="B65" s="26"/>
      <c r="C65" s="26"/>
      <c r="D65" s="26"/>
      <c r="E65" s="26"/>
      <c r="F65" s="26"/>
      <c r="G65" s="26"/>
      <c r="H65" s="26"/>
      <c r="I65" s="26"/>
      <c r="J65" s="26" t="s">
        <v>269</v>
      </c>
      <c r="K65" s="26" t="s">
        <v>435</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436</v>
      </c>
      <c r="BG65" s="26" t="s">
        <v>84</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3">
      <c r="B66" s="26"/>
      <c r="C66" s="26"/>
      <c r="D66" s="26"/>
      <c r="E66" s="26"/>
      <c r="F66" s="26"/>
      <c r="G66" s="26"/>
      <c r="H66" s="26"/>
      <c r="I66" s="26"/>
      <c r="J66" s="26">
        <f>IF(C19=F18,F26,F33)</f>
        <v>1</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379</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3">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437</v>
      </c>
      <c r="BG67" s="26" t="s">
        <v>115</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3">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438</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3">
      <c r="B69" s="26"/>
      <c r="C69" s="26"/>
      <c r="D69" s="26"/>
      <c r="E69" s="26"/>
      <c r="F69" s="26"/>
      <c r="G69" s="26"/>
      <c r="H69" s="26"/>
      <c r="I69" s="26"/>
      <c r="J69" s="26"/>
      <c r="K69" s="26"/>
      <c r="L69" s="26"/>
      <c r="M69" s="26"/>
      <c r="N69" s="26"/>
      <c r="O69" s="26">
        <v>952.99</v>
      </c>
      <c r="P69" s="26"/>
      <c r="Q69" s="26"/>
      <c r="R69" s="26"/>
      <c r="S69" s="26">
        <v>12700</v>
      </c>
      <c r="T69" s="26"/>
      <c r="U69" s="26"/>
      <c r="V69" s="26"/>
      <c r="W69" s="26" t="s">
        <v>407</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439</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3">
      <c r="B70" s="26"/>
      <c r="C70" s="26"/>
      <c r="D70" s="26"/>
      <c r="E70" s="26"/>
      <c r="F70" s="26"/>
      <c r="G70" s="26"/>
      <c r="H70" s="26"/>
      <c r="I70" s="26"/>
      <c r="J70" s="26"/>
      <c r="K70" s="26"/>
      <c r="L70" s="26"/>
      <c r="M70" s="26"/>
      <c r="N70" s="26"/>
      <c r="O70" s="26">
        <v>755</v>
      </c>
      <c r="P70" s="26"/>
      <c r="Q70" s="26"/>
      <c r="R70" s="26" t="s">
        <v>440</v>
      </c>
      <c r="S70" s="26" t="e">
        <f>VLOOKUP(S69,S72:S88,1,1)</f>
        <v>#N/A</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441</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3">
      <c r="B71" s="26"/>
      <c r="C71" s="26"/>
      <c r="D71" s="26"/>
      <c r="E71" s="26"/>
      <c r="F71" s="26"/>
      <c r="G71" s="26"/>
      <c r="H71" s="26"/>
      <c r="I71" s="26"/>
      <c r="J71" s="26"/>
      <c r="K71" s="26"/>
      <c r="L71" s="26"/>
      <c r="M71" s="26"/>
      <c r="N71" s="26"/>
      <c r="O71" s="26">
        <v>714</v>
      </c>
      <c r="P71" s="26"/>
      <c r="Q71" s="26"/>
      <c r="R71" s="26" t="s">
        <v>442</v>
      </c>
      <c r="S71" s="26" t="s">
        <v>443</v>
      </c>
      <c r="T71" s="26" t="s">
        <v>9</v>
      </c>
      <c r="U71" s="26" t="s">
        <v>444</v>
      </c>
      <c r="V71" s="26" t="s">
        <v>445</v>
      </c>
      <c r="W71" s="26" t="s">
        <v>446</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447</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3">
      <c r="B72" s="26"/>
      <c r="C72" s="26"/>
      <c r="D72" s="26"/>
      <c r="E72" s="26"/>
      <c r="F72" s="26"/>
      <c r="G72" s="26"/>
      <c r="H72" s="26"/>
      <c r="I72" s="26"/>
      <c r="J72" s="26"/>
      <c r="K72" s="26"/>
      <c r="L72" s="26"/>
      <c r="M72" s="26"/>
      <c r="N72" s="26"/>
      <c r="O72" s="26">
        <v>628</v>
      </c>
      <c r="P72" s="26"/>
      <c r="Q72" s="26"/>
      <c r="R72" s="26" t="e">
        <f>IF(OR($C$5=$CB$16,$C$5=$CC$16),S72*1.05,S72)</f>
        <v>#N/A</v>
      </c>
      <c r="S72" s="26" t="e">
        <f>VLOOKUP(INT(W18),ofek4,1+2,FALSE)</f>
        <v>#N/A</v>
      </c>
      <c r="T72" s="26" t="e">
        <f>S72*0.75</f>
        <v>#N/A</v>
      </c>
      <c r="U72" s="26" t="e">
        <f t="shared" ref="U72:U88" si="5">T72*$U$70</f>
        <v>#N/A</v>
      </c>
      <c r="V72" s="26" t="e">
        <f t="shared" ref="V72:V88" si="6">U72*$S$64</f>
        <v>#N/A</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251</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3">
      <c r="B73" s="26"/>
      <c r="C73" s="26"/>
      <c r="D73" s="26"/>
      <c r="E73" s="26"/>
      <c r="F73" s="26"/>
      <c r="G73" s="26"/>
      <c r="H73" s="26"/>
      <c r="I73" s="26"/>
      <c r="J73" s="26"/>
      <c r="K73" s="26"/>
      <c r="L73" s="26"/>
      <c r="M73" s="26"/>
      <c r="N73" s="26"/>
      <c r="O73" s="26">
        <v>543</v>
      </c>
      <c r="P73" s="26"/>
      <c r="Q73" s="26"/>
      <c r="R73" s="26" t="e">
        <f>R72*1.0375</f>
        <v>#N/A</v>
      </c>
      <c r="S73" s="26" t="e">
        <f>S72*1.0375</f>
        <v>#N/A</v>
      </c>
      <c r="T73" s="26" t="e">
        <f t="shared" ref="T73:T88" si="7">S73*0.75</f>
        <v>#N/A</v>
      </c>
      <c r="U73" s="26" t="e">
        <f t="shared" si="5"/>
        <v>#N/A</v>
      </c>
      <c r="V73" s="26" t="e">
        <f t="shared" si="6"/>
        <v>#N/A</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376</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3">
      <c r="B74" s="26"/>
      <c r="C74" s="26"/>
      <c r="D74" s="26"/>
      <c r="E74" s="26"/>
      <c r="F74" s="26"/>
      <c r="G74" s="26"/>
      <c r="H74" s="26"/>
      <c r="I74" s="26" t="s">
        <v>448</v>
      </c>
      <c r="J74" s="26"/>
      <c r="K74" s="26"/>
      <c r="L74" s="26"/>
      <c r="M74" s="26"/>
      <c r="N74" s="26"/>
      <c r="O74" s="26">
        <v>543</v>
      </c>
      <c r="P74" s="26"/>
      <c r="Q74" s="26"/>
      <c r="R74" s="26" t="e">
        <f>IF(OR($C$5=$CB$16,$C$5=$CC$16),S74*1.05,S74)</f>
        <v>#N/A</v>
      </c>
      <c r="S74" s="26" t="e">
        <f>VLOOKUP(INT(W18),ofek4,2+2,FALSE)</f>
        <v>#N/A</v>
      </c>
      <c r="T74" s="26" t="e">
        <f t="shared" si="7"/>
        <v>#N/A</v>
      </c>
      <c r="U74" s="26" t="e">
        <f t="shared" si="5"/>
        <v>#N/A</v>
      </c>
      <c r="V74" s="26" t="e">
        <f t="shared" si="6"/>
        <v>#N/A</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3">
      <c r="B75" s="26"/>
      <c r="C75" s="26"/>
      <c r="D75" s="26"/>
      <c r="E75" s="26"/>
      <c r="F75" s="26"/>
      <c r="G75" s="26"/>
      <c r="H75" s="26"/>
      <c r="I75" s="26">
        <f>C25+D25+E25</f>
        <v>1</v>
      </c>
      <c r="J75" s="26"/>
      <c r="K75" s="26">
        <f>D25*0.1</f>
        <v>0</v>
      </c>
      <c r="L75" s="26">
        <f>E25*1</f>
        <v>0</v>
      </c>
      <c r="M75" s="26"/>
      <c r="N75" s="26"/>
      <c r="O75" s="26">
        <v>543</v>
      </c>
      <c r="P75" s="26"/>
      <c r="Q75" s="26"/>
      <c r="R75" s="26" t="e">
        <f>R74*1.0375</f>
        <v>#N/A</v>
      </c>
      <c r="S75" s="26" t="e">
        <f>S74*1.0375</f>
        <v>#N/A</v>
      </c>
      <c r="T75" s="26" t="e">
        <f t="shared" si="7"/>
        <v>#N/A</v>
      </c>
      <c r="U75" s="26" t="e">
        <f t="shared" si="5"/>
        <v>#N/A</v>
      </c>
      <c r="V75" s="26" t="e">
        <f t="shared" si="6"/>
        <v>#N/A</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3">
      <c r="B76" s="26"/>
      <c r="C76" s="26"/>
      <c r="D76" s="26"/>
      <c r="E76" s="26"/>
      <c r="F76" s="26"/>
      <c r="G76" s="26"/>
      <c r="H76" s="26"/>
      <c r="I76" s="26"/>
      <c r="J76" s="26"/>
      <c r="K76" s="26"/>
      <c r="L76" s="26"/>
      <c r="M76" s="26"/>
      <c r="N76" s="26"/>
      <c r="O76" s="26">
        <v>543</v>
      </c>
      <c r="P76" s="26"/>
      <c r="Q76" s="26"/>
      <c r="R76" s="26" t="e">
        <f>IF(OR($C$5=$CB$16,$C$5=$CC$16),S76*1.05,S76)</f>
        <v>#N/A</v>
      </c>
      <c r="S76" s="26" t="e">
        <f>VLOOKUP(INT(W18),ofek4,3+2,FALSE)</f>
        <v>#N/A</v>
      </c>
      <c r="T76" s="26" t="e">
        <f t="shared" si="7"/>
        <v>#N/A</v>
      </c>
      <c r="U76" s="26" t="e">
        <f t="shared" si="5"/>
        <v>#N/A</v>
      </c>
      <c r="V76" s="26" t="e">
        <f t="shared" si="6"/>
        <v>#N/A</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449</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3">
      <c r="B77" s="26"/>
      <c r="C77" s="26"/>
      <c r="D77" s="26"/>
      <c r="E77" s="26"/>
      <c r="F77" s="26"/>
      <c r="G77" s="26"/>
      <c r="H77" s="26"/>
      <c r="I77" s="26"/>
      <c r="J77" s="26"/>
      <c r="K77" s="26">
        <f>I75+K75+L75</f>
        <v>1</v>
      </c>
      <c r="L77" s="26"/>
      <c r="M77" s="26"/>
      <c r="N77" s="26"/>
      <c r="O77" s="26">
        <v>543</v>
      </c>
      <c r="P77" s="26"/>
      <c r="Q77" s="26"/>
      <c r="R77" s="26" t="e">
        <f>R76*1.0375</f>
        <v>#N/A</v>
      </c>
      <c r="S77" s="26" t="e">
        <f>S76*1.0375</f>
        <v>#N/A</v>
      </c>
      <c r="T77" s="26" t="e">
        <f t="shared" si="7"/>
        <v>#N/A</v>
      </c>
      <c r="U77" s="26" t="e">
        <f t="shared" si="5"/>
        <v>#N/A</v>
      </c>
      <c r="V77" s="26" t="e">
        <f t="shared" si="6"/>
        <v>#N/A</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451</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3">
      <c r="B78" s="26"/>
      <c r="C78" s="26"/>
      <c r="D78" s="26"/>
      <c r="E78" s="26"/>
      <c r="F78" s="26"/>
      <c r="G78" s="26"/>
      <c r="H78" s="26"/>
      <c r="I78" s="26"/>
      <c r="J78" s="26"/>
      <c r="K78" s="26"/>
      <c r="L78" s="26"/>
      <c r="M78" s="26"/>
      <c r="N78" s="26"/>
      <c r="O78" s="26">
        <v>543</v>
      </c>
      <c r="P78" s="26"/>
      <c r="Q78" s="26"/>
      <c r="R78" s="26" t="e">
        <f>IF(OR($C$5=$CB$16,$C$5=$CC$16),S78*1.05,S78)</f>
        <v>#N/A</v>
      </c>
      <c r="S78" s="26" t="e">
        <f>VLOOKUP(INT(W18),ofek4,4+2,FALSE)</f>
        <v>#N/A</v>
      </c>
      <c r="T78" s="26" t="e">
        <f t="shared" si="7"/>
        <v>#N/A</v>
      </c>
      <c r="U78" s="26" t="e">
        <f t="shared" si="5"/>
        <v>#N/A</v>
      </c>
      <c r="V78" s="26" t="e">
        <f t="shared" si="6"/>
        <v>#N/A</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3">
      <c r="B79" s="26"/>
      <c r="C79" s="26"/>
      <c r="D79" s="26"/>
      <c r="E79" s="26"/>
      <c r="F79" s="26"/>
      <c r="G79" s="26"/>
      <c r="H79" s="26"/>
      <c r="I79" s="26"/>
      <c r="J79" s="26"/>
      <c r="K79" s="26"/>
      <c r="L79" s="26"/>
      <c r="M79" s="26"/>
      <c r="N79" s="26"/>
      <c r="O79" s="26">
        <v>543</v>
      </c>
      <c r="P79" s="26"/>
      <c r="Q79" s="26"/>
      <c r="R79" s="26" t="e">
        <f>R78*1.0375</f>
        <v>#N/A</v>
      </c>
      <c r="S79" s="26" t="e">
        <f>S78*1.0375</f>
        <v>#N/A</v>
      </c>
      <c r="T79" s="26" t="e">
        <f t="shared" si="7"/>
        <v>#N/A</v>
      </c>
      <c r="U79" s="26" t="e">
        <f t="shared" si="5"/>
        <v>#N/A</v>
      </c>
      <c r="V79" s="26" t="e">
        <f t="shared" si="6"/>
        <v>#N/A</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3">
      <c r="B80" s="26"/>
      <c r="C80" s="26"/>
      <c r="D80" s="26"/>
      <c r="E80" s="26"/>
      <c r="F80" s="26"/>
      <c r="G80" s="26"/>
      <c r="H80" s="26"/>
      <c r="I80" s="26"/>
      <c r="J80" s="26"/>
      <c r="K80" s="26"/>
      <c r="L80" s="26"/>
      <c r="M80" s="26" t="s">
        <v>453</v>
      </c>
      <c r="N80" s="26"/>
      <c r="O80" s="26">
        <v>543</v>
      </c>
      <c r="P80" s="26"/>
      <c r="Q80" s="26"/>
      <c r="R80" s="26" t="e">
        <f>IF(OR($C$5=$CB$16,$C$5=$CC$16),S80*1.05,S80)</f>
        <v>#N/A</v>
      </c>
      <c r="S80" s="26" t="e">
        <f>VLOOKUP(INT(W18),ofek4,5+2,FALSE)</f>
        <v>#N/A</v>
      </c>
      <c r="T80" s="26" t="e">
        <f t="shared" si="7"/>
        <v>#N/A</v>
      </c>
      <c r="U80" s="26" t="e">
        <f t="shared" si="5"/>
        <v>#N/A</v>
      </c>
      <c r="V80" s="26" t="e">
        <f t="shared" si="6"/>
        <v>#N/A</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3">
      <c r="B81" s="26"/>
      <c r="C81" s="26"/>
      <c r="D81" s="26"/>
      <c r="E81" s="26"/>
      <c r="F81" s="26"/>
      <c r="G81" s="26"/>
      <c r="H81" s="26"/>
      <c r="I81" s="26"/>
      <c r="J81" s="26"/>
      <c r="K81" s="26"/>
      <c r="L81" s="26"/>
      <c r="M81" s="26" t="s">
        <v>278</v>
      </c>
      <c r="N81" s="26" t="str">
        <f>W18&amp;"  שנות הוראה  "</f>
        <v xml:space="preserve">0  שנות הוראה  </v>
      </c>
      <c r="O81" s="26">
        <v>543</v>
      </c>
      <c r="P81" s="26"/>
      <c r="Q81" s="26"/>
      <c r="R81" s="26" t="e">
        <f>R80*1.0375</f>
        <v>#N/A</v>
      </c>
      <c r="S81" s="26" t="e">
        <f>S80*1.0375</f>
        <v>#N/A</v>
      </c>
      <c r="T81" s="26" t="e">
        <f t="shared" si="7"/>
        <v>#N/A</v>
      </c>
      <c r="U81" s="26" t="e">
        <f t="shared" si="5"/>
        <v>#N/A</v>
      </c>
      <c r="V81" s="26" t="e">
        <f t="shared" si="6"/>
        <v>#N/A</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3">
      <c r="B82" s="26"/>
      <c r="C82" s="26"/>
      <c r="D82" s="26"/>
      <c r="E82" s="26"/>
      <c r="F82" s="26"/>
      <c r="G82" s="26"/>
      <c r="H82" s="26"/>
      <c r="I82" s="26"/>
      <c r="J82" s="26"/>
      <c r="K82" s="26"/>
      <c r="L82" s="26"/>
      <c r="M82" s="26">
        <v>1</v>
      </c>
      <c r="N82" s="26" t="e">
        <f t="shared" ref="N82:N98" si="8">IF($C$5=$CB$16,R72*1.05,IF($C$5=$CE$16,T72,IF($C$5=$CF$16,U72,IF(OR($C$5=$CC$16,$C$5=$CD$16),S72,U72*$S$64))))</f>
        <v>#N/A</v>
      </c>
      <c r="O82" s="26"/>
      <c r="P82" s="26"/>
      <c r="Q82" s="26"/>
      <c r="R82" s="26" t="e">
        <f>IF(OR($C$5=$CB$16,$C$5=$CC$16),S82*1.05,S82)</f>
        <v>#N/A</v>
      </c>
      <c r="S82" s="26" t="e">
        <f>VLOOKUP(INT(W18),ofek4,6+2,FALSE)</f>
        <v>#N/A</v>
      </c>
      <c r="T82" s="26" t="e">
        <f t="shared" si="7"/>
        <v>#N/A</v>
      </c>
      <c r="U82" s="26" t="e">
        <f t="shared" si="5"/>
        <v>#N/A</v>
      </c>
      <c r="V82" s="26" t="e">
        <f t="shared" si="6"/>
        <v>#N/A</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3">
      <c r="B83" s="26"/>
      <c r="C83" s="26"/>
      <c r="D83" s="26"/>
      <c r="E83" s="26"/>
      <c r="F83" s="26"/>
      <c r="G83" s="26"/>
      <c r="H83" s="26"/>
      <c r="I83" s="26"/>
      <c r="J83" s="26"/>
      <c r="K83" s="26"/>
      <c r="L83" s="26"/>
      <c r="M83" s="26">
        <v>1.5</v>
      </c>
      <c r="N83" s="26" t="e">
        <f t="shared" si="8"/>
        <v>#N/A</v>
      </c>
      <c r="O83" s="26"/>
      <c r="P83" s="26"/>
      <c r="Q83" s="26"/>
      <c r="R83" s="26" t="e">
        <f>R82*1.0375</f>
        <v>#N/A</v>
      </c>
      <c r="S83" s="26" t="e">
        <f>S82*1.0425</f>
        <v>#N/A</v>
      </c>
      <c r="T83" s="26" t="e">
        <f t="shared" si="7"/>
        <v>#N/A</v>
      </c>
      <c r="U83" s="26" t="e">
        <f t="shared" si="5"/>
        <v>#N/A</v>
      </c>
      <c r="V83" s="26" t="e">
        <f t="shared" si="6"/>
        <v>#N/A</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3">
      <c r="B84" s="26"/>
      <c r="C84" s="26"/>
      <c r="D84" s="26"/>
      <c r="E84" s="26"/>
      <c r="F84" s="26"/>
      <c r="G84" s="26"/>
      <c r="H84" s="26"/>
      <c r="I84" s="26"/>
      <c r="J84" s="26"/>
      <c r="K84" s="26"/>
      <c r="L84" s="26"/>
      <c r="M84" s="26">
        <v>2</v>
      </c>
      <c r="N84" s="26" t="e">
        <f t="shared" si="8"/>
        <v>#N/A</v>
      </c>
      <c r="O84" s="26"/>
      <c r="P84" s="26"/>
      <c r="Q84" s="26"/>
      <c r="R84" s="26" t="e">
        <f>IF(OR($C$5=$CB$16,$C$5=$CC$16),S84*1.05,S84)</f>
        <v>#N/A</v>
      </c>
      <c r="S84" s="26" t="e">
        <f>VLOOKUP(INT(W18),ofek4,7+2,FALSE)</f>
        <v>#N/A</v>
      </c>
      <c r="T84" s="26" t="e">
        <f>S84*0.75</f>
        <v>#N/A</v>
      </c>
      <c r="U84" s="26" t="e">
        <f t="shared" si="5"/>
        <v>#N/A</v>
      </c>
      <c r="V84" s="26" t="e">
        <f t="shared" si="6"/>
        <v>#N/A</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3">
      <c r="B85" s="26"/>
      <c r="C85" s="26"/>
      <c r="D85" s="26"/>
      <c r="E85" s="26"/>
      <c r="F85" s="26"/>
      <c r="G85" s="26"/>
      <c r="H85" s="26"/>
      <c r="I85" s="26"/>
      <c r="J85" s="26"/>
      <c r="K85" s="26"/>
      <c r="L85" s="26"/>
      <c r="M85" s="26">
        <v>2.5</v>
      </c>
      <c r="N85" s="26" t="e">
        <f t="shared" si="8"/>
        <v>#N/A</v>
      </c>
      <c r="O85" s="26" t="s">
        <v>9</v>
      </c>
      <c r="P85" s="26" t="s">
        <v>12</v>
      </c>
      <c r="Q85" s="26" t="s">
        <v>13</v>
      </c>
      <c r="R85" s="26" t="e">
        <f>R84*1.0375</f>
        <v>#N/A</v>
      </c>
      <c r="S85" s="26" t="e">
        <f>S84*1.0425</f>
        <v>#N/A</v>
      </c>
      <c r="T85" s="26" t="e">
        <f t="shared" si="7"/>
        <v>#N/A</v>
      </c>
      <c r="U85" s="26" t="e">
        <f t="shared" si="5"/>
        <v>#N/A</v>
      </c>
      <c r="V85" s="26" t="e">
        <f t="shared" si="6"/>
        <v>#N/A</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3">
      <c r="B86" s="26"/>
      <c r="C86" s="26"/>
      <c r="D86" s="26"/>
      <c r="E86" s="26"/>
      <c r="F86" s="26"/>
      <c r="G86" s="26"/>
      <c r="H86" s="26"/>
      <c r="I86" s="26"/>
      <c r="J86" s="26"/>
      <c r="K86" s="26"/>
      <c r="L86" s="26"/>
      <c r="M86" s="26">
        <v>3</v>
      </c>
      <c r="N86" s="26" t="e">
        <f t="shared" si="8"/>
        <v>#N/A</v>
      </c>
      <c r="O86" s="26">
        <f t="shared" ref="O86:O102" si="9">N120*0.75</f>
        <v>4725.0025781249997</v>
      </c>
      <c r="P86" s="26">
        <f t="shared" ref="P86:P102" si="10">O86*$U$70</f>
        <v>4307.0548375782419</v>
      </c>
      <c r="Q86" s="26">
        <f t="shared" ref="Q86:Q102" si="11">P86*$S$64</f>
        <v>3747.0515675963188</v>
      </c>
      <c r="R86" s="26" t="e">
        <f>IF(OR($C$5=$CB$16,$C$5=$CC$16),S86*1.05,S86)</f>
        <v>#N/A</v>
      </c>
      <c r="S86" s="26" t="e">
        <f>VLOOKUP(INT(W18),ofek4,8+2,FALSE)</f>
        <v>#N/A</v>
      </c>
      <c r="T86" s="26" t="e">
        <f t="shared" si="7"/>
        <v>#N/A</v>
      </c>
      <c r="U86" s="26" t="e">
        <f t="shared" si="5"/>
        <v>#N/A</v>
      </c>
      <c r="V86" s="26" t="e">
        <f t="shared" si="6"/>
        <v>#N/A</v>
      </c>
      <c r="W86" s="26" t="e">
        <f>W73*BG72</f>
        <v>#REF!</v>
      </c>
      <c r="X86" s="26">
        <v>8.5</v>
      </c>
      <c r="Y86" s="26"/>
      <c r="Z86" s="26"/>
      <c r="AA86" s="26"/>
      <c r="AB86" s="26"/>
      <c r="AC86" s="26"/>
      <c r="AD86" s="26"/>
      <c r="AE86" s="26"/>
      <c r="AF86" s="26"/>
      <c r="AG86" s="26" t="s">
        <v>59</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3">
      <c r="A87" t="s">
        <v>59</v>
      </c>
      <c r="B87" s="26"/>
      <c r="C87" s="26"/>
      <c r="D87" s="26"/>
      <c r="E87" s="26"/>
      <c r="F87" s="26"/>
      <c r="G87" s="26"/>
      <c r="H87" s="26"/>
      <c r="I87" s="26"/>
      <c r="J87" s="26"/>
      <c r="K87" s="26"/>
      <c r="L87" s="26"/>
      <c r="M87" s="26">
        <v>3.5</v>
      </c>
      <c r="N87" s="26" t="e">
        <f t="shared" si="8"/>
        <v>#N/A</v>
      </c>
      <c r="O87" s="26">
        <f t="shared" si="9"/>
        <v>4902.1901748046876</v>
      </c>
      <c r="P87" s="26">
        <f t="shared" si="10"/>
        <v>4468.5693939874263</v>
      </c>
      <c r="Q87" s="26">
        <f t="shared" si="11"/>
        <v>3887.5660013811812</v>
      </c>
      <c r="R87" s="26" t="e">
        <f>R86*1.0375</f>
        <v>#N/A</v>
      </c>
      <c r="S87" s="26" t="e">
        <f>S86*1.0425</f>
        <v>#N/A</v>
      </c>
      <c r="T87" s="26" t="e">
        <f t="shared" si="7"/>
        <v>#N/A</v>
      </c>
      <c r="U87" s="26" t="e">
        <f t="shared" si="5"/>
        <v>#N/A</v>
      </c>
      <c r="V87" s="26" t="e">
        <f t="shared" si="6"/>
        <v>#N/A</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3">
      <c r="B88" s="26"/>
      <c r="C88" s="26"/>
      <c r="D88" s="26"/>
      <c r="E88" s="26"/>
      <c r="F88" s="26"/>
      <c r="G88" s="26"/>
      <c r="H88" s="26"/>
      <c r="I88" s="26"/>
      <c r="J88" s="26"/>
      <c r="K88" s="26"/>
      <c r="L88" s="26"/>
      <c r="M88" s="26">
        <v>4</v>
      </c>
      <c r="N88" s="26" t="e">
        <f t="shared" si="8"/>
        <v>#N/A</v>
      </c>
      <c r="O88" s="26">
        <f t="shared" si="9"/>
        <v>5079.3777714843745</v>
      </c>
      <c r="P88" s="26">
        <f t="shared" si="10"/>
        <v>4630.0839503966099</v>
      </c>
      <c r="Q88" s="26">
        <f t="shared" si="11"/>
        <v>4028.0804351660427</v>
      </c>
      <c r="R88" s="26" t="e">
        <f>IF(OR($C$5=$CB$16,$C$5=$CC$16),S88*1.05,S88)</f>
        <v>#N/A</v>
      </c>
      <c r="S88" s="26" t="e">
        <f>VLOOKUP(INT(W18),ofek4,9+2,FALSE)</f>
        <v>#N/A</v>
      </c>
      <c r="T88" s="26" t="e">
        <f t="shared" si="7"/>
        <v>#N/A</v>
      </c>
      <c r="U88" s="26" t="e">
        <f t="shared" si="5"/>
        <v>#N/A</v>
      </c>
      <c r="V88" s="26" t="e">
        <f t="shared" si="6"/>
        <v>#N/A</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3">
      <c r="B89" s="26"/>
      <c r="C89" s="26"/>
      <c r="D89" s="26"/>
      <c r="E89" s="26"/>
      <c r="F89" s="26"/>
      <c r="G89" s="26"/>
      <c r="H89" s="26"/>
      <c r="I89" s="26"/>
      <c r="J89" s="26"/>
      <c r="K89" s="26"/>
      <c r="L89" s="26"/>
      <c r="M89" s="26">
        <v>4.5</v>
      </c>
      <c r="N89" s="26" t="e">
        <f t="shared" si="8"/>
        <v>#N/A</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454</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3">
      <c r="B90" s="26"/>
      <c r="C90" s="26"/>
      <c r="D90" s="26"/>
      <c r="E90" s="26"/>
      <c r="F90" s="26"/>
      <c r="G90" s="26"/>
      <c r="H90" s="26"/>
      <c r="I90" s="26"/>
      <c r="J90" s="26"/>
      <c r="K90" s="26"/>
      <c r="L90" s="26"/>
      <c r="M90" s="26">
        <v>5</v>
      </c>
      <c r="N90" s="26" t="e">
        <f t="shared" si="8"/>
        <v>#N/A</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59</v>
      </c>
      <c r="AL90" s="26"/>
      <c r="AM90" s="26"/>
      <c r="AN90" s="26"/>
      <c r="AO90" s="26"/>
      <c r="AP90" s="26"/>
      <c r="AQ90" s="26"/>
      <c r="AR90" s="26"/>
      <c r="AS90" s="26"/>
      <c r="AT90" s="26"/>
      <c r="AU90" s="26"/>
      <c r="AV90" s="26"/>
      <c r="AW90" s="26"/>
      <c r="AX90" s="26"/>
      <c r="AY90" s="26" t="s">
        <v>455</v>
      </c>
      <c r="AZ90" s="26"/>
      <c r="BA90" s="26"/>
      <c r="BB90" s="26" t="e">
        <f>IF(BC90&gt;'[1]נתוני מס'!L28*'[1]נתוני מס'!M28,'[1]נתוני מס'!L28*'[1]נתוני מס'!M28,BC90)</f>
        <v>#REF!</v>
      </c>
      <c r="BC90" s="26" t="e">
        <f>((BG77-(Q26*AJ30*12+AJ33+#REF!+#REF!))*'[1]נתוני מס'!L28)/12</f>
        <v>#REF!</v>
      </c>
      <c r="BD90" s="26"/>
      <c r="BE90" s="26"/>
      <c r="BF90" s="26"/>
      <c r="BG90" s="26"/>
      <c r="BH90" s="26" t="s">
        <v>456</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3">
      <c r="B91" s="26"/>
      <c r="C91" s="26"/>
      <c r="D91" s="26"/>
      <c r="E91" s="26"/>
      <c r="F91" s="26"/>
      <c r="G91" s="26"/>
      <c r="H91" s="26"/>
      <c r="I91" s="26"/>
      <c r="J91" s="26"/>
      <c r="K91" s="26"/>
      <c r="L91" s="26"/>
      <c r="M91" s="26">
        <v>5.5</v>
      </c>
      <c r="N91" s="26" t="e">
        <f t="shared" si="8"/>
        <v>#N/A</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457</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59</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3">
      <c r="B92" s="26"/>
      <c r="C92" s="26"/>
      <c r="D92" s="26"/>
      <c r="E92" s="26"/>
      <c r="F92" s="26"/>
      <c r="G92" s="26"/>
      <c r="H92" s="26"/>
      <c r="I92" s="26"/>
      <c r="J92" s="26"/>
      <c r="K92" s="26"/>
      <c r="L92" s="26"/>
      <c r="M92" s="26">
        <v>6</v>
      </c>
      <c r="N92" s="26" t="e">
        <f t="shared" si="8"/>
        <v>#N/A</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458</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3">
      <c r="B93" s="26"/>
      <c r="C93" s="26"/>
      <c r="D93" s="26"/>
      <c r="E93" s="26"/>
      <c r="F93" s="26"/>
      <c r="G93" s="26"/>
      <c r="H93" s="26"/>
      <c r="I93" s="26"/>
      <c r="J93" s="26"/>
      <c r="K93" s="26"/>
      <c r="L93" s="26"/>
      <c r="M93" s="26">
        <v>6.5</v>
      </c>
      <c r="N93" s="26" t="e">
        <f t="shared" si="8"/>
        <v>#N/A</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459</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3">
      <c r="B94" s="26"/>
      <c r="C94" s="26"/>
      <c r="D94" s="26"/>
      <c r="E94" s="26"/>
      <c r="F94" s="26"/>
      <c r="G94" s="26"/>
      <c r="H94" s="26"/>
      <c r="I94" s="26"/>
      <c r="J94" s="26"/>
      <c r="K94" s="26"/>
      <c r="L94" s="26"/>
      <c r="M94" s="26">
        <v>7</v>
      </c>
      <c r="N94" s="26" t="e">
        <f t="shared" si="8"/>
        <v>#N/A</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460</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3">
      <c r="B95" s="26"/>
      <c r="C95" s="26"/>
      <c r="D95" s="26"/>
      <c r="E95" s="26"/>
      <c r="F95" s="26"/>
      <c r="G95" s="26"/>
      <c r="H95" s="26"/>
      <c r="I95" s="26"/>
      <c r="J95" s="26"/>
      <c r="K95" s="26"/>
      <c r="L95" s="26"/>
      <c r="M95" s="26">
        <v>7.5</v>
      </c>
      <c r="N95" s="26" t="e">
        <f t="shared" si="8"/>
        <v>#N/A</v>
      </c>
      <c r="O95" s="26">
        <f t="shared" si="9"/>
        <v>6546.7236999267334</v>
      </c>
      <c r="P95" s="26">
        <f t="shared" si="10"/>
        <v>5967.6365284115645</v>
      </c>
      <c r="Q95" s="26">
        <f t="shared" si="11"/>
        <v>5191.7244269874927</v>
      </c>
      <c r="R95" s="26"/>
      <c r="S95" s="26"/>
      <c r="T95" s="26"/>
      <c r="U95" s="26" t="s">
        <v>59</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461</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3">
      <c r="B96" s="26"/>
      <c r="C96" s="26"/>
      <c r="D96" s="26"/>
      <c r="E96" s="26"/>
      <c r="F96" s="26"/>
      <c r="G96" s="26"/>
      <c r="H96" s="26"/>
      <c r="I96" s="26"/>
      <c r="J96" s="26"/>
      <c r="K96" s="26"/>
      <c r="L96" s="26"/>
      <c r="M96" s="26">
        <v>8</v>
      </c>
      <c r="N96" s="26" t="e">
        <f t="shared" si="8"/>
        <v>#N/A</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462</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3">
      <c r="B97" s="26"/>
      <c r="C97" s="26"/>
      <c r="D97" s="26"/>
      <c r="E97" s="26"/>
      <c r="F97" s="26"/>
      <c r="G97" s="26"/>
      <c r="H97" s="26"/>
      <c r="I97" s="26"/>
      <c r="J97" s="26"/>
      <c r="K97" s="26"/>
      <c r="L97" s="26"/>
      <c r="M97" s="26">
        <v>8.5</v>
      </c>
      <c r="N97" s="26" t="e">
        <f t="shared" si="8"/>
        <v>#N/A</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463</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3">
      <c r="B98" s="26"/>
      <c r="C98" s="26"/>
      <c r="D98" s="26"/>
      <c r="E98" s="26"/>
      <c r="F98" s="26"/>
      <c r="G98" s="26"/>
      <c r="H98" s="26"/>
      <c r="I98" s="26"/>
      <c r="J98" s="26"/>
      <c r="K98" s="26"/>
      <c r="L98" s="26"/>
      <c r="M98" s="26">
        <v>9</v>
      </c>
      <c r="N98" s="26" t="e">
        <f t="shared" si="8"/>
        <v>#N/A</v>
      </c>
      <c r="O98" s="26">
        <f t="shared" si="9"/>
        <v>7359.9372101224508</v>
      </c>
      <c r="P98" s="26">
        <f t="shared" si="10"/>
        <v>6708.9176441696745</v>
      </c>
      <c r="Q98" s="26">
        <f t="shared" si="11"/>
        <v>5836.624172074733</v>
      </c>
      <c r="R98" s="26"/>
      <c r="S98" s="26"/>
      <c r="T98" s="26"/>
      <c r="U98" s="26" t="s">
        <v>59</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464</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3">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285</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3">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59</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3">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59</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465</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3">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204</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3">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59</v>
      </c>
      <c r="AB103" s="26" t="s">
        <v>59</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3">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466</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3">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3">
      <c r="B106" s="26"/>
      <c r="C106" s="26"/>
      <c r="D106" s="26"/>
      <c r="E106" s="26"/>
      <c r="F106" s="26"/>
      <c r="G106" s="26"/>
      <c r="H106" s="26"/>
      <c r="I106" s="26"/>
      <c r="J106" s="26"/>
      <c r="K106" s="26"/>
      <c r="L106" s="26"/>
      <c r="M106" s="26"/>
      <c r="N106" s="26">
        <v>4.5</v>
      </c>
      <c r="O106" s="26"/>
      <c r="P106" s="26">
        <f>(G202-T7)*2.4%</f>
        <v>2.6659199999999998</v>
      </c>
      <c r="Q106" s="26" t="s">
        <v>467</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3">
      <c r="B107" s="26"/>
      <c r="C107" s="26"/>
      <c r="D107" s="26"/>
      <c r="E107" s="26"/>
      <c r="F107" s="26"/>
      <c r="G107" s="26"/>
      <c r="H107" s="26"/>
      <c r="I107" s="26"/>
      <c r="J107" s="26"/>
      <c r="K107" s="26"/>
      <c r="L107" s="26"/>
      <c r="M107" s="26"/>
      <c r="N107" s="26">
        <v>5</v>
      </c>
      <c r="O107" s="26"/>
      <c r="P107" s="26">
        <f>IF(AB16=0,0,IF(G202-T7+BG70&gt;13,13,G202-T7+BG70))</f>
        <v>0</v>
      </c>
      <c r="Q107" s="26" t="s">
        <v>468</v>
      </c>
      <c r="R107" s="26" t="s">
        <v>469</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3">
      <c r="B108" s="26"/>
      <c r="C108" s="26"/>
      <c r="D108" s="26"/>
      <c r="E108" s="26"/>
      <c r="F108" s="26"/>
      <c r="G108" s="26"/>
      <c r="H108" s="26"/>
      <c r="I108" s="26"/>
      <c r="J108" s="26"/>
      <c r="K108" s="26"/>
      <c r="L108" s="26"/>
      <c r="M108" s="26"/>
      <c r="N108" s="26">
        <v>5.5</v>
      </c>
      <c r="O108" s="26"/>
      <c r="P108" s="26"/>
      <c r="Q108" s="26" t="s">
        <v>470</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3">
      <c r="B109" s="26"/>
      <c r="C109" s="26"/>
      <c r="D109" s="26"/>
      <c r="E109" s="26"/>
      <c r="F109" s="26"/>
      <c r="G109" s="26"/>
      <c r="H109" s="26"/>
      <c r="I109" s="26"/>
      <c r="J109" s="26"/>
      <c r="K109" s="26"/>
      <c r="L109" s="26"/>
      <c r="M109" s="26"/>
      <c r="N109" s="26">
        <v>6</v>
      </c>
      <c r="O109" s="26"/>
      <c r="P109" s="26"/>
      <c r="Q109" s="26" t="s">
        <v>471</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3">
      <c r="B110" s="26"/>
      <c r="C110" s="26"/>
      <c r="D110" s="26"/>
      <c r="E110" s="26"/>
      <c r="F110" s="26"/>
      <c r="G110" s="26"/>
      <c r="H110" s="26"/>
      <c r="I110" s="26"/>
      <c r="J110" s="26"/>
      <c r="K110" s="26"/>
      <c r="L110" s="26"/>
      <c r="M110" s="26"/>
      <c r="N110" s="26">
        <v>6.5</v>
      </c>
      <c r="O110" s="26"/>
      <c r="P110" s="26"/>
      <c r="Q110" s="26" t="s">
        <v>472</v>
      </c>
      <c r="R110" s="26" t="e">
        <f>#REF!</f>
        <v>#REF!</v>
      </c>
      <c r="S110" s="26" t="e">
        <f>#REF!</f>
        <v>#REF!</v>
      </c>
      <c r="T110" s="26"/>
      <c r="U110" s="26"/>
      <c r="V110" s="26" t="s">
        <v>450</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3">
      <c r="B111" s="26"/>
      <c r="C111" s="26"/>
      <c r="D111" s="26"/>
      <c r="E111" s="26"/>
      <c r="F111" s="26"/>
      <c r="G111" s="26"/>
      <c r="H111" s="26"/>
      <c r="I111" s="26"/>
      <c r="J111" s="26"/>
      <c r="K111" s="26"/>
      <c r="L111" s="26"/>
      <c r="M111" s="26"/>
      <c r="N111" s="26">
        <v>7</v>
      </c>
      <c r="O111" s="26"/>
      <c r="P111" s="26"/>
      <c r="Q111" s="26" t="s">
        <v>473</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3">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3">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3">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3">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3">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3">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3">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3">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3">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3">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3">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3">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3">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3">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3">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3">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3">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3">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3">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3">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3">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3">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3">
      <c r="B134" s="26" t="s">
        <v>41</v>
      </c>
      <c r="C134" s="26">
        <v>35</v>
      </c>
      <c r="D134" s="26">
        <f>IFERROR(T29,0%)</f>
        <v>0</v>
      </c>
      <c r="E134" s="26" t="s">
        <v>474</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3">
      <c r="B135" s="26" t="s">
        <v>40</v>
      </c>
      <c r="C135" s="26">
        <v>0</v>
      </c>
      <c r="D135" s="26">
        <f>IFERROR(T30,0%)</f>
        <v>0</v>
      </c>
      <c r="E135" s="26" t="s">
        <v>475</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3">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3">
      <c r="B137" s="26"/>
      <c r="C137" s="26"/>
      <c r="D137" s="26"/>
      <c r="E137" s="26"/>
      <c r="F137" s="26"/>
      <c r="G137" s="26"/>
      <c r="H137" s="26" t="s">
        <v>476</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3">
      <c r="B138" s="26"/>
      <c r="C138" s="26"/>
      <c r="D138" s="26"/>
      <c r="E138" s="26"/>
      <c r="F138" s="26"/>
      <c r="G138" s="26"/>
      <c r="H138" s="26" t="s">
        <v>477</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3">
      <c r="B139" s="26" t="s">
        <v>478</v>
      </c>
      <c r="C139" s="26"/>
      <c r="D139" s="26"/>
      <c r="E139" s="26"/>
      <c r="F139" s="26"/>
      <c r="G139" s="26"/>
      <c r="H139" s="26" t="s">
        <v>479</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3">
      <c r="B140" s="26" t="s">
        <v>480</v>
      </c>
      <c r="C140" s="26" t="s">
        <v>481</v>
      </c>
      <c r="D140" s="26" t="s">
        <v>482</v>
      </c>
      <c r="E140" s="26" t="s">
        <v>483</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3">
      <c r="B141" s="26" t="s">
        <v>484</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3">
      <c r="B142" s="26" t="s">
        <v>485</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3">
      <c r="B143" s="26" t="s">
        <v>486</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3">
      <c r="B144" s="26" t="s">
        <v>487</v>
      </c>
      <c r="C144" s="26">
        <v>0.27</v>
      </c>
      <c r="D144" s="26">
        <v>0.37</v>
      </c>
      <c r="E144" s="26">
        <f>C144+12.5%</f>
        <v>0.39500000000000002</v>
      </c>
      <c r="F144" s="26">
        <f>IF(C14&gt;0,30*C9-3,30*C9)</f>
        <v>0</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3">
      <c r="B145" s="26" t="s">
        <v>488</v>
      </c>
      <c r="C145" s="26">
        <v>0.16</v>
      </c>
      <c r="D145" s="26"/>
      <c r="E145" s="26" t="s">
        <v>489</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3">
      <c r="B146" s="26" t="s">
        <v>8</v>
      </c>
      <c r="C146" s="26" t="s">
        <v>28</v>
      </c>
      <c r="D146" s="26"/>
      <c r="E146" s="26" t="s">
        <v>490</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3">
      <c r="B147" s="26"/>
      <c r="C147" s="26"/>
      <c r="D147" s="26"/>
      <c r="E147" s="26"/>
      <c r="F147" s="26" t="s">
        <v>491</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3">
      <c r="B148" s="26"/>
      <c r="C148" s="26"/>
      <c r="D148" s="26"/>
      <c r="E148" s="26" t="s">
        <v>8</v>
      </c>
      <c r="F148" s="26" t="s">
        <v>492</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3">
      <c r="B149" s="26" t="s">
        <v>8</v>
      </c>
      <c r="C149" s="26"/>
      <c r="D149" s="26"/>
      <c r="E149" s="26" t="s">
        <v>27</v>
      </c>
      <c r="F149" s="26"/>
      <c r="G149" s="26" t="s">
        <v>438</v>
      </c>
      <c r="H149" s="26" t="s">
        <v>493</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3">
      <c r="B150" s="26" t="s">
        <v>71</v>
      </c>
      <c r="C150" s="26">
        <v>156.88</v>
      </c>
      <c r="D150" s="26" t="s">
        <v>74</v>
      </c>
      <c r="E150" s="26"/>
      <c r="F150" s="26"/>
      <c r="G150" s="26" t="s">
        <v>439</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3">
      <c r="B151" s="26" t="s">
        <v>452</v>
      </c>
      <c r="C151" s="26">
        <v>174.47</v>
      </c>
      <c r="D151" s="26" t="s">
        <v>210</v>
      </c>
      <c r="E151" s="26" t="e">
        <f>(VLOOKUP($I$32,O45:P61,2,0))</f>
        <v>#N/A</v>
      </c>
      <c r="F151" s="26"/>
      <c r="G151" s="26" t="s">
        <v>494</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3">
      <c r="B152" s="26">
        <v>0</v>
      </c>
      <c r="C152" s="26"/>
      <c r="D152" s="26" t="s">
        <v>250</v>
      </c>
      <c r="E152" s="26">
        <v>1</v>
      </c>
      <c r="F152" s="26"/>
      <c r="G152" s="26"/>
      <c r="H152" s="26" t="s">
        <v>495</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3">
      <c r="B153" s="26">
        <v>0.16</v>
      </c>
      <c r="C153" s="26"/>
      <c r="D153" s="26"/>
      <c r="E153" s="26">
        <v>2</v>
      </c>
      <c r="F153" s="26"/>
      <c r="G153" s="26" t="s">
        <v>278</v>
      </c>
      <c r="H153" s="26">
        <f>AA35/12</f>
        <v>0</v>
      </c>
      <c r="I153" s="26" t="s">
        <v>496</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3">
      <c r="B154" s="26" t="s">
        <v>497</v>
      </c>
      <c r="C154" s="26"/>
      <c r="D154" s="26">
        <v>5571</v>
      </c>
      <c r="E154" s="26"/>
      <c r="F154" s="26">
        <v>0</v>
      </c>
      <c r="G154" s="26">
        <v>1</v>
      </c>
      <c r="H154" s="26">
        <f>IF(ABS(BG61-AP31+AY29)&lt;0.26,0,BG61-AP31+AY29)</f>
        <v>112.67</v>
      </c>
      <c r="I154" s="26" t="s">
        <v>59</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3">
      <c r="B155" s="26" t="s">
        <v>498</v>
      </c>
      <c r="C155" s="26" t="s">
        <v>71</v>
      </c>
      <c r="D155" s="26" t="e">
        <f>(VLOOKUP($I$32,R45:S61,2,0))</f>
        <v>#N/A</v>
      </c>
      <c r="E155" s="26"/>
      <c r="F155" s="26">
        <v>0</v>
      </c>
      <c r="G155" s="26">
        <v>1.5</v>
      </c>
      <c r="H155" s="26">
        <f>(ROUND((ROUND((AK25-AQ22)/365.25,4))*12,2)/12)</f>
        <v>32.415833333333332</v>
      </c>
      <c r="I155" s="26" t="s">
        <v>59</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3">
      <c r="B156" s="26">
        <v>0.24</v>
      </c>
      <c r="C156" s="26"/>
      <c r="D156" s="26"/>
      <c r="E156" s="26"/>
      <c r="F156" s="26">
        <v>6</v>
      </c>
      <c r="G156" s="26">
        <v>2</v>
      </c>
      <c r="H156" s="26">
        <f>AK23/12</f>
        <v>32.416666666666664</v>
      </c>
      <c r="I156" s="26" t="s">
        <v>59</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3">
      <c r="B157" s="26">
        <v>0.27</v>
      </c>
      <c r="C157" s="26"/>
      <c r="D157" s="26" t="s">
        <v>28</v>
      </c>
      <c r="E157" s="26"/>
      <c r="F157" s="26"/>
      <c r="G157" s="26">
        <v>2.5</v>
      </c>
      <c r="H157" s="26">
        <f>AK24</f>
        <v>0.59709999999999996</v>
      </c>
      <c r="I157" s="26" t="s">
        <v>59</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3">
      <c r="B158" s="26">
        <v>0.3</v>
      </c>
      <c r="C158" s="26"/>
      <c r="D158" s="26" t="s">
        <v>29</v>
      </c>
      <c r="E158" s="26"/>
      <c r="F158" s="26">
        <v>0</v>
      </c>
      <c r="G158" s="26">
        <v>3</v>
      </c>
      <c r="H158" s="26">
        <f>F158</f>
        <v>0</v>
      </c>
      <c r="I158" s="26" t="s">
        <v>499</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3">
      <c r="B159" s="26">
        <v>0.34</v>
      </c>
      <c r="C159" s="26"/>
      <c r="D159" s="26" t="s">
        <v>500</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3">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3">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3">
      <c r="B162" s="26">
        <v>0.32500000000000001</v>
      </c>
      <c r="C162" s="26" t="s">
        <v>501</v>
      </c>
      <c r="D162" s="26">
        <v>5</v>
      </c>
      <c r="E162" s="26"/>
      <c r="F162" s="26"/>
      <c r="G162" s="26">
        <v>5</v>
      </c>
      <c r="H162" s="26" t="s">
        <v>502</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3">
      <c r="B163" s="26">
        <v>0.36499999999999999</v>
      </c>
      <c r="C163" s="26"/>
      <c r="D163" s="26"/>
      <c r="E163" s="26"/>
      <c r="F163" s="26"/>
      <c r="G163" s="26">
        <v>5.5</v>
      </c>
      <c r="H163" s="26" t="s">
        <v>503</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3">
      <c r="B164" s="26">
        <v>0.39500000000000002</v>
      </c>
      <c r="C164" s="26"/>
      <c r="D164" s="26"/>
      <c r="E164" s="26"/>
      <c r="F164" s="26"/>
      <c r="G164" s="26">
        <v>6</v>
      </c>
      <c r="H164" s="26" t="s">
        <v>504</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3">
      <c r="B165" s="26"/>
      <c r="C165" s="26" t="s">
        <v>505</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3">
      <c r="B166" s="26"/>
      <c r="C166" s="26" t="s">
        <v>506</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3">
      <c r="B167" s="26">
        <v>0</v>
      </c>
      <c r="C167" s="26" t="s">
        <v>507</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3">
      <c r="B168" s="26">
        <v>0</v>
      </c>
      <c r="C168" s="26" t="s">
        <v>508</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3">
      <c r="B169" s="26" t="s">
        <v>71</v>
      </c>
      <c r="C169" s="26" t="s">
        <v>509</v>
      </c>
      <c r="D169" s="26"/>
      <c r="E169" s="26"/>
      <c r="F169" s="26"/>
      <c r="G169" s="26">
        <v>8.5</v>
      </c>
      <c r="H169" s="26"/>
      <c r="I169" s="26"/>
      <c r="J169" s="26"/>
      <c r="K169" s="26">
        <v>7</v>
      </c>
      <c r="L169" s="26"/>
      <c r="M169" s="26" t="str">
        <f t="shared" si="14"/>
        <v xml:space="preserve">0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3">
      <c r="B170" s="26"/>
      <c r="C170" s="26" t="s">
        <v>510</v>
      </c>
      <c r="D170" s="26"/>
      <c r="E170" s="26"/>
      <c r="F170" s="26"/>
      <c r="G170" s="26">
        <v>9</v>
      </c>
      <c r="H170" s="26" t="s">
        <v>59</v>
      </c>
      <c r="I170" s="26"/>
      <c r="J170" s="26"/>
      <c r="K170" s="26">
        <v>7.5</v>
      </c>
      <c r="L170" s="26"/>
      <c r="M170" s="26" t="e">
        <f t="shared" si="14"/>
        <v>#N/A</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3">
      <c r="B171" s="26"/>
      <c r="C171" s="26" t="s">
        <v>511</v>
      </c>
      <c r="D171" s="26"/>
      <c r="E171" s="26"/>
      <c r="F171" s="26"/>
      <c r="G171" s="26"/>
      <c r="H171" s="26"/>
      <c r="I171" s="26"/>
      <c r="J171" s="26"/>
      <c r="K171" s="26">
        <v>8</v>
      </c>
      <c r="L171" s="26"/>
      <c r="M171" s="26" t="e">
        <f t="shared" si="14"/>
        <v>#N/A</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3">
      <c r="B172" s="26" t="s">
        <v>512</v>
      </c>
      <c r="C172" s="26">
        <v>0</v>
      </c>
      <c r="D172" s="26"/>
      <c r="E172" s="26"/>
      <c r="F172" s="26"/>
      <c r="G172" s="26"/>
      <c r="H172" s="26"/>
      <c r="I172" s="26"/>
      <c r="J172" s="26"/>
      <c r="K172" s="26">
        <v>8.5</v>
      </c>
      <c r="L172" s="26"/>
      <c r="M172" s="26" t="e">
        <f t="shared" si="14"/>
        <v>#N/A</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3">
      <c r="B173" s="26" t="s">
        <v>59</v>
      </c>
      <c r="C173" s="26"/>
      <c r="D173" s="26"/>
      <c r="E173" s="26"/>
      <c r="F173" s="26" t="s">
        <v>198</v>
      </c>
      <c r="G173" s="26"/>
      <c r="H173" s="26" t="s">
        <v>513</v>
      </c>
      <c r="I173" s="26">
        <f>DATE(YEAR(J4),MONTH(J4)-MONTH(J4)+1,DAY(J4)-DAY(J4)+1)</f>
        <v>1</v>
      </c>
      <c r="J173" s="26"/>
      <c r="K173" s="26">
        <v>9</v>
      </c>
      <c r="L173" s="26"/>
      <c r="M173" s="26" t="e">
        <f t="shared" si="14"/>
        <v>#N/A</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3">
      <c r="B174" s="26"/>
      <c r="C174" s="26"/>
      <c r="D174" s="26"/>
      <c r="E174" s="26"/>
      <c r="F174" s="26"/>
      <c r="G174" s="26"/>
      <c r="H174" s="26"/>
      <c r="I174" s="26"/>
      <c r="J174" s="26"/>
      <c r="K174" s="26"/>
      <c r="L174" s="26"/>
      <c r="M174" s="26" t="e">
        <f t="shared" si="14"/>
        <v>#N/A</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3">
      <c r="B175" s="26"/>
      <c r="C175" s="26"/>
      <c r="D175" s="26"/>
      <c r="E175" s="26"/>
      <c r="F175" s="26" t="s">
        <v>514</v>
      </c>
      <c r="G175" s="26"/>
      <c r="H175" s="26"/>
      <c r="I175" s="26"/>
      <c r="J175" s="26">
        <f>IF(H192-AE13&lt;3,0,IF(H192-AE13&lt;6,1,IF(H192-AE13&lt;9,2,IF(H192-AE13&lt;12,I167+3,IF(H192-AE13&lt;13,I167+4,IF(H192-AE13&lt;16,I167+5,IF(H192-AE13&lt;19,I167+6,IF(H192-AE13&lt;22,I167+7))))))))</f>
        <v>0</v>
      </c>
      <c r="K175" s="26"/>
      <c r="L175" s="26"/>
      <c r="M175" s="26" t="e">
        <f t="shared" si="14"/>
        <v>#N/A</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3">
      <c r="B176" s="26"/>
      <c r="C176" s="26" t="s">
        <v>515</v>
      </c>
      <c r="D176" s="26"/>
      <c r="E176" s="26"/>
      <c r="F176" s="26"/>
      <c r="G176" s="26"/>
      <c r="H176" s="26"/>
      <c r="I176" s="26"/>
      <c r="J176" s="26"/>
      <c r="K176" s="26"/>
      <c r="L176" s="26"/>
      <c r="M176" s="26" t="e">
        <f t="shared" si="14"/>
        <v>#N/A</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3">
      <c r="B177" s="26"/>
      <c r="C177" s="26" t="s">
        <v>516</v>
      </c>
      <c r="D177" s="26" t="s">
        <v>59</v>
      </c>
      <c r="E177" s="26"/>
      <c r="F177" s="26"/>
      <c r="G177" s="26" t="str">
        <f>AB32</f>
        <v>תקציבית</v>
      </c>
      <c r="H177" s="26"/>
      <c r="I177" s="26" t="e">
        <f>F205</f>
        <v>#REF!</v>
      </c>
      <c r="J177" s="26"/>
      <c r="K177" s="26"/>
      <c r="L177" s="26"/>
      <c r="M177" s="26" t="e">
        <f t="shared" si="14"/>
        <v>#N/A</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3">
      <c r="B178" s="26"/>
      <c r="C178" s="26" t="s">
        <v>517</v>
      </c>
      <c r="D178" s="26" t="s">
        <v>518</v>
      </c>
      <c r="E178" s="26"/>
      <c r="F178" s="26" t="s">
        <v>519</v>
      </c>
      <c r="G178" s="26">
        <f>67</f>
        <v>67</v>
      </c>
      <c r="H178" s="26"/>
      <c r="I178" s="26"/>
      <c r="J178" s="26"/>
      <c r="K178" s="26"/>
      <c r="L178" s="26"/>
      <c r="M178" s="26" t="e">
        <f t="shared" si="14"/>
        <v>#N/A</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3">
      <c r="B179" s="26"/>
      <c r="C179" s="26" t="s">
        <v>477</v>
      </c>
      <c r="D179" s="26" t="s">
        <v>520</v>
      </c>
      <c r="E179" s="26"/>
      <c r="F179" s="26" t="s">
        <v>521</v>
      </c>
      <c r="G179" s="26" t="e">
        <f>#REF!</f>
        <v>#REF!</v>
      </c>
      <c r="H179" s="26"/>
      <c r="I179" s="26" t="s">
        <v>59</v>
      </c>
      <c r="J179" s="26"/>
      <c r="K179" s="26"/>
      <c r="L179" s="26"/>
      <c r="M179" s="26" t="e">
        <f t="shared" si="14"/>
        <v>#N/A</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3">
      <c r="B180" s="26"/>
      <c r="C180" s="26" t="s">
        <v>522</v>
      </c>
      <c r="D180" s="26" t="s">
        <v>476</v>
      </c>
      <c r="E180" s="26"/>
      <c r="F180" s="26" t="s">
        <v>523</v>
      </c>
      <c r="G180" s="26">
        <f>G202</f>
        <v>52.87</v>
      </c>
      <c r="H180" s="26"/>
      <c r="I180" s="26" t="s">
        <v>59</v>
      </c>
      <c r="J180" s="26"/>
      <c r="K180" s="26"/>
      <c r="L180" s="26"/>
      <c r="M180" s="26" t="e">
        <f t="shared" si="14"/>
        <v>#N/A</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3">
      <c r="B181" s="26"/>
      <c r="C181" s="26" t="s">
        <v>524</v>
      </c>
      <c r="D181" s="26" t="s">
        <v>525</v>
      </c>
      <c r="E181" s="26"/>
      <c r="F181" s="26"/>
      <c r="G181" s="26" t="s">
        <v>526</v>
      </c>
      <c r="H181" s="26"/>
      <c r="I181" s="26"/>
      <c r="J181" s="26"/>
      <c r="K181" s="26"/>
      <c r="L181" s="26"/>
      <c r="M181" s="26" t="e">
        <f t="shared" si="14"/>
        <v>#N/A</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3">
      <c r="B182" s="26"/>
      <c r="C182" s="26" t="s">
        <v>527</v>
      </c>
      <c r="D182" s="26" t="s">
        <v>528</v>
      </c>
      <c r="E182" s="26"/>
      <c r="F182" s="26" t="e">
        <f>#REF!/#REF!*F187</f>
        <v>#REF!</v>
      </c>
      <c r="G182" s="26" t="str">
        <f>IF(H154&gt;0.26,"שנות ותק נגרר",IF(H154&lt;0.26,"תקופת חלת"))</f>
        <v>שנות ותק נגרר</v>
      </c>
      <c r="H182" s="26"/>
      <c r="I182" s="26"/>
      <c r="J182" s="26"/>
      <c r="K182" s="26"/>
      <c r="L182" s="26"/>
      <c r="M182" s="26" t="e">
        <f t="shared" si="14"/>
        <v>#N/A</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3">
      <c r="B183" s="26"/>
      <c r="C183" s="26" t="s">
        <v>529</v>
      </c>
      <c r="D183" s="26" t="s">
        <v>479</v>
      </c>
      <c r="E183" s="26"/>
      <c r="F183" s="26" t="e">
        <f>#REF!/#REF!*F187</f>
        <v>#REF!</v>
      </c>
      <c r="G183" s="26" t="s">
        <v>530</v>
      </c>
      <c r="H183" s="26"/>
      <c r="I183" s="26"/>
      <c r="J183" s="26" t="s">
        <v>59</v>
      </c>
      <c r="K183" s="26"/>
      <c r="L183" s="26"/>
      <c r="M183" s="26" t="e">
        <f t="shared" si="14"/>
        <v>#N/A</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3">
      <c r="B184" s="26"/>
      <c r="C184" s="26" t="s">
        <v>531</v>
      </c>
      <c r="D184" s="26"/>
      <c r="E184" s="26"/>
      <c r="F184" s="26" t="e">
        <f>#REF!/#REF!*F187</f>
        <v>#REF!</v>
      </c>
      <c r="G184" s="26" t="s">
        <v>532</v>
      </c>
      <c r="H184" s="26"/>
      <c r="I184" s="26"/>
      <c r="J184" s="26"/>
      <c r="K184" s="26"/>
      <c r="L184" s="26"/>
      <c r="M184" s="26" t="e">
        <f t="shared" si="14"/>
        <v>#N/A</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3">
      <c r="B185" s="26"/>
      <c r="C185" s="26"/>
      <c r="D185" s="26" t="s">
        <v>533</v>
      </c>
      <c r="E185" s="26"/>
      <c r="F185" s="26" t="e">
        <f>#REF!/#REF!*F187</f>
        <v>#REF!</v>
      </c>
      <c r="G185" s="26" t="s">
        <v>534</v>
      </c>
      <c r="H185" s="26"/>
      <c r="I185" s="26"/>
      <c r="J185" s="26"/>
      <c r="K185" s="26"/>
      <c r="L185" s="26"/>
      <c r="M185" s="26" t="e">
        <f t="shared" si="14"/>
        <v>#N/A</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3">
      <c r="B186" s="26" t="s">
        <v>535</v>
      </c>
      <c r="C186" s="26" t="str">
        <f>C5</f>
        <v>ב"א</v>
      </c>
      <c r="D186" s="26"/>
      <c r="E186" s="26"/>
      <c r="F186" s="26" t="e">
        <f>#REF!/#REF!*F187</f>
        <v>#REF!</v>
      </c>
      <c r="G186" s="26" t="s">
        <v>536</v>
      </c>
      <c r="H186" s="26"/>
      <c r="I186" s="26"/>
      <c r="J186" s="26"/>
      <c r="K186" s="26"/>
      <c r="L186" s="26"/>
      <c r="M186" s="26" t="e">
        <f t="shared" si="14"/>
        <v>#N/A</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3">
      <c r="B187" s="26"/>
      <c r="C187" s="26"/>
      <c r="D187" s="26"/>
      <c r="E187" s="26"/>
      <c r="F187" s="26" t="e">
        <f>#REF!</f>
        <v>#REF!</v>
      </c>
      <c r="G187" s="26" t="s">
        <v>537</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3">
      <c r="B188" s="26"/>
      <c r="C188" s="26"/>
      <c r="D188" s="26"/>
      <c r="E188" s="26"/>
      <c r="F188" s="26" t="e">
        <f>F187-#REF!</f>
        <v>#REF!</v>
      </c>
      <c r="G188" s="26" t="s">
        <v>538</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3">
      <c r="B189" s="26"/>
      <c r="C189" s="26"/>
      <c r="D189" s="26"/>
      <c r="E189" s="26"/>
      <c r="F189" s="26" t="e">
        <f>#REF!</f>
        <v>#REF!</v>
      </c>
      <c r="G189" s="26" t="s">
        <v>539</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3">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3">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3">
      <c r="B192" s="26"/>
      <c r="C192" s="26"/>
      <c r="D192" s="26"/>
      <c r="E192" s="26"/>
      <c r="F192" s="26"/>
      <c r="G192" s="26" t="s">
        <v>540</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3">
      <c r="B193" s="26" t="s">
        <v>541</v>
      </c>
      <c r="C193" s="26" t="s">
        <v>542</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3">
      <c r="B194" s="26" t="e">
        <f>#REF!</f>
        <v>#REF!</v>
      </c>
      <c r="C194" s="26" t="s">
        <v>543</v>
      </c>
      <c r="D194" s="26" t="s">
        <v>59</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3">
      <c r="B195" s="26" t="e">
        <f>#REF!</f>
        <v>#REF!</v>
      </c>
      <c r="C195" s="26" t="s">
        <v>544</v>
      </c>
      <c r="D195" s="26" t="s">
        <v>59</v>
      </c>
      <c r="E195" s="26"/>
      <c r="F195" s="26"/>
      <c r="G195" s="26" t="s">
        <v>545</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3">
      <c r="B196" s="26" t="e">
        <f>#REF!</f>
        <v>#REF!</v>
      </c>
      <c r="C196" s="26" t="s">
        <v>546</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3">
      <c r="B197" s="26" t="e">
        <f>#REF!</f>
        <v>#REF!</v>
      </c>
      <c r="C197" s="26" t="s">
        <v>547</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3">
      <c r="B198" s="26" t="e">
        <f>#REF!</f>
        <v>#REF!</v>
      </c>
      <c r="C198" s="26" t="s">
        <v>548</v>
      </c>
      <c r="D198" s="26" t="e">
        <f>IF(#REF!=0,#REF!,TRUNC(#REF!,2)&amp; "  :מספר משכורות")</f>
        <v>#REF!</v>
      </c>
      <c r="E198" s="26"/>
      <c r="F198" s="26" t="s">
        <v>59</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3">
      <c r="B199" s="26" t="e">
        <f>SUM(B194:B198)</f>
        <v>#REF!</v>
      </c>
      <c r="C199" s="26" t="s">
        <v>549</v>
      </c>
      <c r="D199" s="26" t="s">
        <v>550</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3">
      <c r="B200" s="26"/>
      <c r="C200" s="26" t="s">
        <v>551</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3">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3">
      <c r="B202" s="26" t="e">
        <f>#REF!</f>
        <v>#REF!</v>
      </c>
      <c r="C202" s="26" t="s">
        <v>552</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3">
      <c r="B203" s="26"/>
      <c r="C203" s="26" t="s">
        <v>553</v>
      </c>
      <c r="D203" s="26"/>
      <c r="E203" s="26"/>
      <c r="F203" s="26" t="s">
        <v>554</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3">
      <c r="B204" s="26"/>
      <c r="C204" s="26" t="s">
        <v>555</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3">
      <c r="B205" s="26" t="s">
        <v>556</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3">
      <c r="B206" s="26" t="s">
        <v>557</v>
      </c>
      <c r="C206" s="26"/>
      <c r="D206" s="26"/>
      <c r="E206" s="26"/>
      <c r="F206" s="26">
        <v>0</v>
      </c>
      <c r="G206" s="26"/>
      <c r="H206" s="26"/>
      <c r="I206" s="26" t="s">
        <v>62</v>
      </c>
      <c r="J206" s="26" t="s">
        <v>558</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3">
      <c r="B207" s="26"/>
      <c r="C207" s="26" t="s">
        <v>559</v>
      </c>
      <c r="D207" s="26"/>
      <c r="E207" s="26"/>
      <c r="F207" s="26">
        <v>0</v>
      </c>
      <c r="G207" s="26"/>
      <c r="H207" s="26"/>
      <c r="I207" s="26">
        <f t="shared" ref="I207:I223" si="16">L207</f>
        <v>1</v>
      </c>
      <c r="J207" s="26" t="e">
        <f>M170*0.95</f>
        <v>#N/A</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3">
      <c r="B208" s="26" t="s">
        <v>59</v>
      </c>
      <c r="C208" s="26" t="s">
        <v>560</v>
      </c>
      <c r="D208" s="26"/>
      <c r="E208" s="26"/>
      <c r="F208" s="26">
        <v>0</v>
      </c>
      <c r="G208" s="26"/>
      <c r="H208" s="26"/>
      <c r="I208" s="26">
        <f t="shared" si="16"/>
        <v>1.5</v>
      </c>
      <c r="J208" s="26" t="e">
        <f t="shared" ref="J208:J223" si="17">M171*0.95</f>
        <v>#N/A</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3">
      <c r="B209" s="26"/>
      <c r="C209" s="26"/>
      <c r="D209" s="26"/>
      <c r="E209" s="26"/>
      <c r="F209" s="26">
        <v>0</v>
      </c>
      <c r="G209" s="26"/>
      <c r="H209" s="26"/>
      <c r="I209" s="26">
        <f t="shared" si="16"/>
        <v>2</v>
      </c>
      <c r="J209" s="26" t="e">
        <f t="shared" si="17"/>
        <v>#N/A</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3">
      <c r="B210" s="26"/>
      <c r="C210" s="26"/>
      <c r="D210" s="26"/>
      <c r="E210" s="26"/>
      <c r="F210" s="26">
        <f>BG73</f>
        <v>0</v>
      </c>
      <c r="G210" s="26"/>
      <c r="H210" s="26"/>
      <c r="I210" s="26">
        <f t="shared" si="16"/>
        <v>2.5</v>
      </c>
      <c r="J210" s="26" t="e">
        <f t="shared" si="17"/>
        <v>#N/A</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3">
      <c r="B211" s="26"/>
      <c r="C211" s="26"/>
      <c r="D211" s="26"/>
      <c r="E211" s="26"/>
      <c r="F211" s="26">
        <f>IF(BG65=X6,0,IF(BG65=X7,10%*P96,IF(BG65=X8,20%*P96,IF(BG65=X9,11.5%*P96,6%*P96))))</f>
        <v>0</v>
      </c>
      <c r="G211" s="26" t="s">
        <v>59</v>
      </c>
      <c r="H211" s="26"/>
      <c r="I211" s="26">
        <f t="shared" si="16"/>
        <v>3</v>
      </c>
      <c r="J211" s="26" t="e">
        <f t="shared" si="17"/>
        <v>#N/A</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3">
      <c r="B212" s="26"/>
      <c r="C212" s="26"/>
      <c r="D212" s="26"/>
      <c r="E212" s="26"/>
      <c r="F212" s="26">
        <f>BG66</f>
        <v>0</v>
      </c>
      <c r="G212" s="26"/>
      <c r="H212" s="26"/>
      <c r="I212" s="26">
        <f t="shared" si="16"/>
        <v>3.5</v>
      </c>
      <c r="J212" s="26" t="e">
        <f t="shared" si="17"/>
        <v>#N/A</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3">
      <c r="B213" s="26"/>
      <c r="C213" s="26"/>
      <c r="D213" s="26"/>
      <c r="E213" s="26"/>
      <c r="F213" s="26">
        <f>AD11*P96</f>
        <v>0</v>
      </c>
      <c r="G213" s="26"/>
      <c r="H213" s="26"/>
      <c r="I213" s="26">
        <f t="shared" si="16"/>
        <v>4</v>
      </c>
      <c r="J213" s="26" t="e">
        <f t="shared" si="17"/>
        <v>#N/A</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3">
      <c r="B214" s="26" t="s">
        <v>545</v>
      </c>
      <c r="C214" s="26"/>
      <c r="D214" s="26"/>
      <c r="E214" s="26"/>
      <c r="F214" s="26" t="e">
        <f>SUM(F205:F208)*BG68</f>
        <v>#REF!</v>
      </c>
      <c r="G214" s="26"/>
      <c r="H214" s="26"/>
      <c r="I214" s="26">
        <f t="shared" si="16"/>
        <v>4.5</v>
      </c>
      <c r="J214" s="26" t="e">
        <f t="shared" si="17"/>
        <v>#N/A</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3">
      <c r="B215" s="26"/>
      <c r="C215" s="26"/>
      <c r="D215" s="26"/>
      <c r="E215" s="26"/>
      <c r="F215" s="26" t="e">
        <f>J187*F214</f>
        <v>#REF!</v>
      </c>
      <c r="G215" s="26" t="s">
        <v>59</v>
      </c>
      <c r="H215" s="26"/>
      <c r="I215" s="26">
        <f t="shared" si="16"/>
        <v>5</v>
      </c>
      <c r="J215" s="26" t="e">
        <f t="shared" si="17"/>
        <v>#N/A</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3">
      <c r="B216" s="26"/>
      <c r="C216" s="26"/>
      <c r="D216" s="26"/>
      <c r="E216" s="26"/>
      <c r="F216" s="26" t="e">
        <f>J188*F205</f>
        <v>#REF!</v>
      </c>
      <c r="G216" s="26"/>
      <c r="H216" s="26"/>
      <c r="I216" s="26">
        <f t="shared" si="16"/>
        <v>5.5</v>
      </c>
      <c r="J216" s="26" t="e">
        <f t="shared" si="17"/>
        <v>#N/A</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3">
      <c r="B217" s="26"/>
      <c r="C217" s="26"/>
      <c r="D217" s="26"/>
      <c r="E217" s="26"/>
      <c r="F217" s="26" t="e">
        <f>SUM(F205:F208)*AB29</f>
        <v>#REF!</v>
      </c>
      <c r="G217" s="26"/>
      <c r="H217" s="26"/>
      <c r="I217" s="26">
        <f t="shared" si="16"/>
        <v>6</v>
      </c>
      <c r="J217" s="26" t="e">
        <f t="shared" si="17"/>
        <v>#N/A</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3">
      <c r="B218" s="26"/>
      <c r="C218" s="26"/>
      <c r="D218" s="26"/>
      <c r="E218" s="26"/>
      <c r="F218" s="26" t="e">
        <f>F205*BG72</f>
        <v>#REF!</v>
      </c>
      <c r="G218" s="26"/>
      <c r="H218" s="26"/>
      <c r="I218" s="26">
        <f t="shared" si="16"/>
        <v>6.5</v>
      </c>
      <c r="J218" s="26" t="e">
        <f t="shared" si="17"/>
        <v>#N/A</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3">
      <c r="B219" s="26"/>
      <c r="C219" s="26"/>
      <c r="D219" s="26"/>
      <c r="E219" s="26"/>
      <c r="F219" s="26" t="e">
        <f>SUM(F205:F208)*BG64</f>
        <v>#REF!</v>
      </c>
      <c r="G219" s="26"/>
      <c r="H219" s="26"/>
      <c r="I219" s="26">
        <f t="shared" si="16"/>
        <v>7</v>
      </c>
      <c r="J219" s="26" t="e">
        <f t="shared" si="17"/>
        <v>#N/A</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3">
      <c r="B220" s="26"/>
      <c r="C220" s="26"/>
      <c r="D220" s="26"/>
      <c r="E220" s="26"/>
      <c r="F220" s="26">
        <v>0</v>
      </c>
      <c r="G220" s="26" t="s">
        <v>561</v>
      </c>
      <c r="H220" s="26"/>
      <c r="I220" s="26">
        <f t="shared" si="16"/>
        <v>7.5</v>
      </c>
      <c r="J220" s="26" t="e">
        <f t="shared" si="17"/>
        <v>#N/A</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3">
      <c r="B221" s="26"/>
      <c r="C221" s="26"/>
      <c r="D221" s="26"/>
      <c r="E221" s="26"/>
      <c r="F221" s="26">
        <v>0</v>
      </c>
      <c r="G221" s="26" t="s">
        <v>562</v>
      </c>
      <c r="H221" s="26"/>
      <c r="I221" s="26">
        <f t="shared" si="16"/>
        <v>8</v>
      </c>
      <c r="J221" s="26" t="e">
        <f t="shared" si="17"/>
        <v>#N/A</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3">
      <c r="B222" s="26"/>
      <c r="C222" s="26" t="str">
        <f>BF73</f>
        <v>תוספת ערבה</v>
      </c>
      <c r="D222" s="26">
        <f>AB39</f>
        <v>0</v>
      </c>
      <c r="E222" s="26"/>
      <c r="F222" s="26" t="e">
        <f>SUM(F205:F221)</f>
        <v>#REF!</v>
      </c>
      <c r="G222" s="26"/>
      <c r="H222" s="26"/>
      <c r="I222" s="26">
        <f t="shared" si="16"/>
        <v>8.5</v>
      </c>
      <c r="J222" s="26" t="e">
        <f t="shared" si="17"/>
        <v>#N/A</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3">
      <c r="B223" s="26"/>
      <c r="C223" s="26"/>
      <c r="D223" s="26"/>
      <c r="E223" s="26"/>
      <c r="F223" s="26"/>
      <c r="G223" s="26"/>
      <c r="H223" s="26"/>
      <c r="I223" s="26">
        <f t="shared" si="16"/>
        <v>9</v>
      </c>
      <c r="J223" s="26" t="e">
        <f t="shared" si="17"/>
        <v>#N/A</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3">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3">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3">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3">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3">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3">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3">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3">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3">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3">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3">
      <c r="B234" s="26" t="s">
        <v>59</v>
      </c>
      <c r="C234" s="26" t="s">
        <v>563</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3">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3">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3">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3">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3">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3">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3">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3">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3">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3">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3">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3">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3">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3">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3">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3">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3">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3">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3">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3">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3">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3">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3">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3">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3">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3">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3">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3">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3">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3">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3">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3">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3">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3">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3">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3">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3">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3">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3">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3">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3">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3">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3">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3">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3">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3">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3">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3">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3">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3">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3">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3">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3">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3">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3">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3">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3">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3">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3">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3">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3">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3">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3">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3">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3">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3">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3">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3">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3">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3">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3">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3">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3">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3">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3">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3">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3">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3">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3">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3">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3">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3">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3">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3">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3">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3">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3">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3">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3">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3">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3">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3">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3">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3">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3">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3">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3">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3">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3">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3">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3">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3">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3">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3">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3">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3">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3">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3">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3">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3">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3">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3">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3">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3">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3">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3">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3">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3">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3">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3">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3">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3">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3">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3">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3">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3">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3">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3">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3">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3">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3">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3">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3">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3">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3">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3">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3">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3">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3">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3">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3">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3">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3">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3">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3">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3">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3">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3">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3">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3">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3">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3">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3">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3">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3">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3">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3">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3">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3">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3">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3">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3">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3">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3">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3">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3">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3">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3">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3">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3">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3">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3">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3">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3">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3">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3">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3">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3">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3">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3">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3">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3">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3">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3">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3">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3">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3">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3">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3">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3">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3">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3">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3">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3">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3">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3">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3">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3">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3">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3">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3">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3">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3">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3">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3">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3">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3">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3">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3">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3">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3">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3">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3">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3">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3">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3">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3">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3">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3">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3">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3">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3">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3">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3">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3">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3">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3">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3">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3">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3">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3">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3">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3">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3">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3">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3">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3">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3">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3">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3">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3">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3">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3">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3">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3">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3">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3">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3">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3">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3">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3">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3">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3">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3">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3">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3">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3">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3">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3">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3">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3">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3">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3">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3">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3">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3">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3">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3">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3">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3">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3">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3">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3">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3">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3">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3">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3">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3">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3">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3">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3">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3">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3">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3">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3">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3">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3">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3">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3">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3">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3">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3">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3">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3">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3">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3">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3">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3">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3">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3">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3">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3">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3">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3">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3">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3">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3">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3">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3">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3">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3">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3">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3">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3">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3">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3">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3">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3">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3">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3">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3">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3">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3">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3">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3">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3">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3">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3">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3">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3">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3">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3">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3">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3">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3">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3">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3">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3">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3">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3">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3">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3">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3">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3">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3">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3">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3">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3">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3">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3">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3">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3">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3">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3">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3">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3">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3">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3">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3">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3">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3">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3">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3">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3">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3">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3">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3">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3">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3">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3">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3">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3">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3">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3">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3">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3">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3">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3">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3">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3">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3">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3">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3">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3">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3">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3">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3">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3">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3">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3">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3">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3">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3">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3">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3">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3">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3">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3">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3">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3">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3">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3">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3">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3">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3">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3">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3">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3">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3">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3">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3">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3">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3">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3">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3">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3">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3">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3">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3">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3">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3">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3">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3">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3">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3">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3">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3">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3">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3">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3">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3">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3">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3">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3">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3">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3">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3">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3">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3">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3">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3">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3">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3">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3">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3">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3">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3">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3">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3">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3">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3">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3">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3">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3">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3">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3">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3">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3">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3">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3">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3">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3">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3">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3">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3">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3">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3">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3">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3">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3">
      <c r="G704" s="26"/>
      <c r="H704" s="26"/>
      <c r="I704" s="26"/>
      <c r="J704" s="26"/>
      <c r="K704" s="26"/>
      <c r="L704" s="26"/>
      <c r="M704" s="26"/>
      <c r="N704" s="26"/>
      <c r="O704" s="26"/>
      <c r="P704" s="26"/>
      <c r="Q704" s="26"/>
      <c r="R704" s="26" t="s">
        <v>55</v>
      </c>
      <c r="S704" s="26">
        <f>IF(BB770-INT(BB770)=0.5,1,0)</f>
        <v>0</v>
      </c>
      <c r="T704" s="26">
        <f>IF(S704=0,0,IF(BB770&lt;=7,3.75,4.25))</f>
        <v>0</v>
      </c>
      <c r="U704" s="26"/>
      <c r="V704" s="26" t="s">
        <v>56</v>
      </c>
      <c r="W704" s="26"/>
      <c r="X704" s="26"/>
      <c r="Y704" s="26"/>
      <c r="Z704" s="26"/>
      <c r="AA704" s="26"/>
      <c r="AB704" s="26"/>
      <c r="AC704" s="26"/>
      <c r="AD704" s="26"/>
      <c r="AE704" s="26"/>
      <c r="AF704" s="26"/>
      <c r="AG704" s="26"/>
      <c r="AH704" s="26"/>
      <c r="AI704" s="26" t="s">
        <v>57</v>
      </c>
      <c r="AJ704" s="26"/>
      <c r="AK704" s="26"/>
      <c r="AL704" s="26"/>
      <c r="AM704" s="26"/>
      <c r="AN704" s="26"/>
      <c r="AO704" s="26"/>
      <c r="AP704" s="26"/>
      <c r="AQ704" s="26"/>
      <c r="AR704" s="26"/>
      <c r="AS704" s="26"/>
      <c r="AT704" s="26"/>
      <c r="AU704" s="26"/>
      <c r="AV704" s="26" t="s">
        <v>58</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3">
      <c r="G705" s="26"/>
      <c r="H705" s="26"/>
      <c r="I705" s="26"/>
      <c r="J705" s="26"/>
      <c r="K705" s="26"/>
      <c r="L705" s="26"/>
      <c r="M705" s="26"/>
      <c r="N705" s="26"/>
      <c r="O705" s="26" t="s">
        <v>63</v>
      </c>
      <c r="P705" s="26" t="s">
        <v>27</v>
      </c>
      <c r="Q705" s="26"/>
      <c r="R705" s="26" t="s">
        <v>64</v>
      </c>
      <c r="S705" s="26">
        <v>0.03</v>
      </c>
      <c r="T705" s="26">
        <f>1+(T704/100)</f>
        <v>1</v>
      </c>
      <c r="U705" s="26"/>
      <c r="V705" s="26">
        <v>0</v>
      </c>
      <c r="W705" s="26">
        <v>0</v>
      </c>
      <c r="X705" s="26"/>
      <c r="Y705" s="26" t="s">
        <v>65</v>
      </c>
      <c r="Z705" s="26"/>
      <c r="AA705" s="26"/>
      <c r="AB705" s="26"/>
      <c r="AC705" s="26"/>
      <c r="AD705" s="26"/>
      <c r="AE705" s="26"/>
      <c r="AF705" s="26"/>
      <c r="AG705" s="26"/>
      <c r="AH705" s="26"/>
      <c r="AI705" s="26" t="s">
        <v>66</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3">
      <c r="G706" s="26"/>
      <c r="H706" s="26"/>
      <c r="I706" s="26"/>
      <c r="J706" s="26"/>
      <c r="K706" s="26"/>
      <c r="L706" s="26"/>
      <c r="M706" s="26"/>
      <c r="N706" s="26"/>
      <c r="O706" s="26" t="s">
        <v>70</v>
      </c>
      <c r="P706" s="26" t="s">
        <v>71</v>
      </c>
      <c r="Q706" s="26"/>
      <c r="R706" s="26" t="s">
        <v>72</v>
      </c>
      <c r="S706" s="26">
        <v>4.8099999999999997E-2</v>
      </c>
      <c r="T706" s="26"/>
      <c r="U706" s="26"/>
      <c r="V706" s="26">
        <v>1</v>
      </c>
      <c r="W706" s="26">
        <v>0.47499999999999998</v>
      </c>
      <c r="X706" s="26" t="s">
        <v>59</v>
      </c>
      <c r="Y706" s="26">
        <v>0.09</v>
      </c>
      <c r="Z706" s="26" t="s">
        <v>73</v>
      </c>
      <c r="AA706" s="26"/>
      <c r="AB706" s="26"/>
      <c r="AC706" s="26"/>
      <c r="AD706" s="26"/>
      <c r="AE706" s="26" t="s">
        <v>497</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3">
      <c r="G707" s="26"/>
      <c r="H707" s="26"/>
      <c r="I707" s="26"/>
      <c r="J707" s="26"/>
      <c r="K707" s="26"/>
      <c r="L707" s="26"/>
      <c r="M707" s="26"/>
      <c r="N707" s="26"/>
      <c r="O707" s="26" t="s">
        <v>75</v>
      </c>
      <c r="P707" s="26" t="s">
        <v>76</v>
      </c>
      <c r="Q707" s="26"/>
      <c r="R707" s="26"/>
      <c r="S707" s="26"/>
      <c r="T707" s="26"/>
      <c r="U707" s="26"/>
      <c r="V707" s="26">
        <v>2</v>
      </c>
      <c r="W707" s="26">
        <v>0.495</v>
      </c>
      <c r="X707" s="26" t="s">
        <v>59</v>
      </c>
      <c r="Y707" s="26">
        <v>8.2500000000000004E-2</v>
      </c>
      <c r="Z707" s="26" t="s">
        <v>77</v>
      </c>
      <c r="AA707" s="26"/>
      <c r="AB707" s="26"/>
      <c r="AC707" s="26"/>
      <c r="AD707" s="26"/>
      <c r="AE707" s="26" t="s">
        <v>157</v>
      </c>
      <c r="AF707" s="26" t="s">
        <v>71</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3">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59</v>
      </c>
      <c r="Y708" s="26">
        <v>7.4999999999999997E-2</v>
      </c>
      <c r="Z708" s="26" t="s">
        <v>80</v>
      </c>
      <c r="AA708" s="26"/>
      <c r="AB708" s="26"/>
      <c r="AC708" s="26"/>
      <c r="AD708" s="26"/>
      <c r="AE708" s="26" t="s">
        <v>197</v>
      </c>
      <c r="AF708" s="26" t="s">
        <v>71</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3">
      <c r="G709" s="26"/>
      <c r="H709" s="26"/>
      <c r="I709" s="26"/>
      <c r="J709" s="26"/>
      <c r="K709" s="26"/>
      <c r="L709" s="26"/>
      <c r="M709" s="26"/>
      <c r="N709" s="26"/>
      <c r="O709" s="26"/>
      <c r="P709" s="26"/>
      <c r="Q709" s="26"/>
      <c r="R709" s="26"/>
      <c r="S709" s="26" t="s">
        <v>84</v>
      </c>
      <c r="T709" s="26"/>
      <c r="U709" s="26"/>
      <c r="V709" s="26">
        <v>4</v>
      </c>
      <c r="W709" s="26">
        <v>0.53</v>
      </c>
      <c r="X709" s="26" t="s">
        <v>59</v>
      </c>
      <c r="Y709" s="26">
        <v>6.7500000000000004E-2</v>
      </c>
      <c r="Z709" s="26" t="s">
        <v>85</v>
      </c>
      <c r="AA709" s="26"/>
      <c r="AB709" s="26"/>
      <c r="AC709" s="26"/>
      <c r="AD709" s="26"/>
      <c r="AE709" s="26" t="s">
        <v>564</v>
      </c>
      <c r="AF709" s="26" t="s">
        <v>71</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3">
      <c r="G710" s="26"/>
      <c r="H710" s="26"/>
      <c r="I710" s="26"/>
      <c r="J710" s="26"/>
      <c r="K710" s="26"/>
      <c r="L710" s="26"/>
      <c r="M710" s="26"/>
      <c r="N710" s="26"/>
      <c r="O710" s="26">
        <f ca="1">ROUND((I775-AL723)/365.25,2)</f>
        <v>65.84</v>
      </c>
      <c r="P710" s="26" t="s">
        <v>89</v>
      </c>
      <c r="Q710" s="26">
        <f>ROUND((AF735-AT720)/365.25,2)</f>
        <v>0.36</v>
      </c>
      <c r="R710" s="26"/>
      <c r="S710" s="26" t="s">
        <v>6</v>
      </c>
      <c r="T710" s="26"/>
      <c r="U710" s="26"/>
      <c r="V710" s="26">
        <v>5</v>
      </c>
      <c r="W710" s="26">
        <v>0.54500000000000004</v>
      </c>
      <c r="X710" s="26" t="s">
        <v>59</v>
      </c>
      <c r="Y710" s="26">
        <v>0.06</v>
      </c>
      <c r="Z710" s="26" t="s">
        <v>90</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3">
      <c r="G711" s="26"/>
      <c r="H711" s="26"/>
      <c r="I711" s="26"/>
      <c r="J711" s="26"/>
      <c r="K711" s="26"/>
      <c r="L711" s="26"/>
      <c r="M711" s="26"/>
      <c r="N711" s="26"/>
      <c r="O711" s="26">
        <f ca="1">IF(BB769=CB719,59-O710,60-O710)</f>
        <v>-5.8400000000000034</v>
      </c>
      <c r="P711" s="26" t="s">
        <v>96</v>
      </c>
      <c r="Q711" s="26">
        <f ca="1">Q710+O711</f>
        <v>-5.4800000000000031</v>
      </c>
      <c r="R711" s="26"/>
      <c r="S711" s="26" t="s">
        <v>97</v>
      </c>
      <c r="T711" s="26"/>
      <c r="U711" s="26"/>
      <c r="V711" s="26">
        <v>6</v>
      </c>
      <c r="W711" s="26">
        <v>0.56499999999999995</v>
      </c>
      <c r="X711" s="26" t="s">
        <v>59</v>
      </c>
      <c r="Y711" s="26">
        <v>5.2499999999999998E-2</v>
      </c>
      <c r="Z711" s="26" t="s">
        <v>98</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565</v>
      </c>
      <c r="BD711" s="26" t="s">
        <v>71</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3">
      <c r="G712" s="26"/>
      <c r="H712" s="26"/>
      <c r="I712" s="26"/>
      <c r="J712" s="26"/>
      <c r="K712" s="26"/>
      <c r="L712" s="26"/>
      <c r="M712" s="26"/>
      <c r="N712" s="26"/>
      <c r="O712" s="26">
        <f ca="1">IF(AD738+O711&gt;36,36,AD738+O711)</f>
        <v>27.159999999999997</v>
      </c>
      <c r="P712" s="26" t="s">
        <v>104</v>
      </c>
      <c r="Q712" s="26">
        <f>E928</f>
        <v>0</v>
      </c>
      <c r="R712" s="26" t="s">
        <v>105</v>
      </c>
      <c r="S712" s="26" t="s">
        <v>106</v>
      </c>
      <c r="T712" s="26"/>
      <c r="U712" s="26"/>
      <c r="V712" s="26">
        <v>7</v>
      </c>
      <c r="W712" s="26">
        <v>0.58499999999999996</v>
      </c>
      <c r="X712" s="26" t="s">
        <v>59</v>
      </c>
      <c r="Y712" s="26">
        <v>4.4999999999999998E-2</v>
      </c>
      <c r="Z712" s="26" t="s">
        <v>107</v>
      </c>
      <c r="AA712" s="26"/>
      <c r="AB712" s="26"/>
      <c r="AC712" s="26"/>
      <c r="AD712" s="26"/>
      <c r="AE712" s="26"/>
      <c r="AF712" s="26"/>
      <c r="AG712" s="26"/>
      <c r="AH712" s="26"/>
      <c r="AI712" s="26">
        <v>4</v>
      </c>
      <c r="AJ712" s="26" t="s">
        <v>59</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3">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114</v>
      </c>
      <c r="T713" s="26"/>
      <c r="U713" s="26"/>
      <c r="V713" s="26">
        <v>8</v>
      </c>
      <c r="W713" s="26">
        <v>0.6</v>
      </c>
      <c r="X713" s="26"/>
      <c r="Y713" s="26">
        <v>0</v>
      </c>
      <c r="Z713" s="26" t="s">
        <v>115</v>
      </c>
      <c r="AA713" s="26"/>
      <c r="AB713" s="26"/>
      <c r="AC713" s="26"/>
      <c r="AD713" s="26"/>
      <c r="AE713" s="26"/>
      <c r="AF713" s="26"/>
      <c r="AG713" s="26"/>
      <c r="AH713" s="26"/>
      <c r="AI713" s="26">
        <v>4.5</v>
      </c>
      <c r="AJ713" s="26" t="s">
        <v>59</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3">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59</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3">
      <c r="G715" s="26"/>
      <c r="H715" s="26"/>
      <c r="I715" s="26"/>
      <c r="J715" s="26"/>
      <c r="K715" s="26"/>
      <c r="L715" s="26"/>
      <c r="M715" s="26"/>
      <c r="N715" s="26"/>
      <c r="O715" s="26">
        <v>0</v>
      </c>
      <c r="P715" s="26"/>
      <c r="Q715" s="26"/>
      <c r="R715" s="26"/>
      <c r="S715" s="26"/>
      <c r="T715" s="26" t="s">
        <v>59</v>
      </c>
      <c r="U715" s="26"/>
      <c r="V715" s="26">
        <v>1</v>
      </c>
      <c r="W715" s="26">
        <v>0.63500000000000001</v>
      </c>
      <c r="X715" s="26"/>
      <c r="Y715" s="26"/>
      <c r="Z715" s="26"/>
      <c r="AA715" s="26"/>
      <c r="AB715" s="26"/>
      <c r="AC715" s="26"/>
      <c r="AD715" s="26"/>
      <c r="AE715" s="26"/>
      <c r="AF715" s="26"/>
      <c r="AG715" s="26"/>
      <c r="AH715" s="26"/>
      <c r="AI715" s="26">
        <v>5.5</v>
      </c>
      <c r="AJ715" s="26" t="s">
        <v>59</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125</v>
      </c>
      <c r="BV715" s="26" t="s">
        <v>126</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3">
      <c r="G716" s="26"/>
      <c r="H716" s="26"/>
      <c r="I716" s="26"/>
      <c r="J716" s="26"/>
      <c r="K716" s="26"/>
      <c r="L716" s="26"/>
      <c r="M716" s="26"/>
      <c r="N716" s="26"/>
      <c r="O716" s="26">
        <v>0</v>
      </c>
      <c r="P716" s="26"/>
      <c r="Q716" s="26"/>
      <c r="R716" s="26">
        <f>IF(BB775=S710,10%,IF(BB775=S711,20%,IF(BB775=S712,11.5%,6%)))</f>
        <v>0.06</v>
      </c>
      <c r="S716" s="26" t="s">
        <v>130</v>
      </c>
      <c r="T716" s="26">
        <v>0.05</v>
      </c>
      <c r="U716" s="26"/>
      <c r="V716" s="26">
        <v>11</v>
      </c>
      <c r="W716" s="26">
        <v>0.66</v>
      </c>
      <c r="X716" s="26"/>
      <c r="Y716" s="26" t="s">
        <v>131</v>
      </c>
      <c r="Z716" s="26">
        <v>0</v>
      </c>
      <c r="AA716" s="26"/>
      <c r="AB716" s="26"/>
      <c r="AC716" s="26"/>
      <c r="AD716" s="26"/>
      <c r="AE716" s="26"/>
      <c r="AF716" s="26"/>
      <c r="AG716" s="26"/>
      <c r="AH716" s="26"/>
      <c r="AI716" s="26">
        <v>6</v>
      </c>
      <c r="AJ716" s="26" t="s">
        <v>59</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3">
      <c r="G717" s="26"/>
      <c r="H717" s="26"/>
      <c r="I717" s="26"/>
      <c r="J717" s="26"/>
      <c r="K717" s="26"/>
      <c r="L717" s="26"/>
      <c r="M717" s="26"/>
      <c r="N717" s="26"/>
      <c r="O717" s="26">
        <v>0</v>
      </c>
      <c r="P717" s="26"/>
      <c r="Q717" s="26"/>
      <c r="R717" s="26"/>
      <c r="S717" s="26" t="s">
        <v>135</v>
      </c>
      <c r="T717" s="26">
        <v>0.10249999999999999</v>
      </c>
      <c r="U717" s="26"/>
      <c r="V717" s="26">
        <v>12</v>
      </c>
      <c r="W717" s="26">
        <v>0.68</v>
      </c>
      <c r="X717" s="26"/>
      <c r="Y717" s="26" t="s">
        <v>136</v>
      </c>
      <c r="Z717" s="26">
        <f>W754</f>
        <v>1</v>
      </c>
      <c r="AA717" s="26"/>
      <c r="AB717" s="26"/>
      <c r="AC717" s="26">
        <v>5</v>
      </c>
      <c r="AD717" s="26"/>
      <c r="AE717" s="26" t="s">
        <v>137</v>
      </c>
      <c r="AF717" s="26"/>
      <c r="AG717" s="26" t="e">
        <f>#REF!</f>
        <v>#REF!</v>
      </c>
      <c r="AH717" s="26"/>
      <c r="AI717" s="26">
        <v>6.5</v>
      </c>
      <c r="AJ717" s="26" t="s">
        <v>59</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138</v>
      </c>
      <c r="BV717" s="26" t="s">
        <v>139</v>
      </c>
      <c r="BW717" s="26" t="s">
        <v>140</v>
      </c>
      <c r="BX717" s="26"/>
      <c r="BY717" s="26"/>
      <c r="BZ717" s="26"/>
      <c r="CA717" s="26"/>
      <c r="CB717" s="26"/>
      <c r="CC717" s="26" t="s">
        <v>141</v>
      </c>
      <c r="CD717" s="26"/>
      <c r="CE717" s="26"/>
      <c r="CF717" s="26"/>
      <c r="CG717" s="26" t="s">
        <v>142</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3">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59</v>
      </c>
      <c r="AQ718" s="26">
        <f>BB771+BB772</f>
        <v>33</v>
      </c>
      <c r="AR718" s="26">
        <f>IF(AR719=0,0,1)</f>
        <v>1</v>
      </c>
      <c r="AS718" s="26"/>
      <c r="AT718" s="26"/>
      <c r="AU718" s="26" t="s">
        <v>59</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3">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151</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59</v>
      </c>
      <c r="AV719" s="26">
        <v>14</v>
      </c>
      <c r="AW719" s="26">
        <v>0.312</v>
      </c>
      <c r="AX719" s="26"/>
      <c r="AY719" s="26"/>
      <c r="AZ719" s="26"/>
      <c r="BA719" s="26"/>
      <c r="BB719" s="26"/>
      <c r="BC719" s="26"/>
      <c r="BD719" s="26"/>
      <c r="BE719" s="26"/>
      <c r="BF719" s="26" t="s">
        <v>152</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566</v>
      </c>
      <c r="CC719" s="26" t="s">
        <v>13</v>
      </c>
      <c r="CD719" s="26" t="s">
        <v>14</v>
      </c>
      <c r="CE719" s="26" t="s">
        <v>15</v>
      </c>
      <c r="CF719" s="26" t="s">
        <v>16</v>
      </c>
      <c r="CG719" s="26" t="s">
        <v>444</v>
      </c>
      <c r="CH719" s="26" t="s">
        <v>567</v>
      </c>
      <c r="CI719" s="26" t="s">
        <v>141</v>
      </c>
      <c r="CJ719" s="26" t="s">
        <v>568</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3">
      <c r="G720" s="26"/>
      <c r="H720" s="26"/>
      <c r="I720" s="26"/>
      <c r="J720" s="26"/>
      <c r="K720" s="26"/>
      <c r="L720" s="26"/>
      <c r="M720" s="26"/>
      <c r="N720" s="26"/>
      <c r="O720" s="26"/>
      <c r="P720" s="26"/>
      <c r="Q720" s="26"/>
      <c r="R720" s="26"/>
      <c r="S720" s="26" t="s">
        <v>156</v>
      </c>
      <c r="T720" s="26">
        <v>0</v>
      </c>
      <c r="U720" s="26" t="e">
        <f>M747*1.2%*#REF!</f>
        <v>#REF!</v>
      </c>
      <c r="V720" s="26" t="s">
        <v>156</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158</v>
      </c>
      <c r="AP720" s="26">
        <v>39844</v>
      </c>
      <c r="AQ720" s="26">
        <v>8</v>
      </c>
      <c r="AR720" s="26">
        <v>8.5</v>
      </c>
      <c r="AS720" s="26" t="s">
        <v>159</v>
      </c>
      <c r="AT720" s="26">
        <v>40442</v>
      </c>
      <c r="AU720" s="26"/>
      <c r="AV720" s="26"/>
      <c r="AW720" s="26"/>
      <c r="AX720" s="26" t="str">
        <f ca="1">"06/"&amp;MID(AY720,1,4)</f>
        <v>06/2016</v>
      </c>
      <c r="AY720" s="26">
        <f ca="1">YEAR(AQ719+I775)+AR718</f>
        <v>2016</v>
      </c>
      <c r="AZ720" s="26" t="s">
        <v>160</v>
      </c>
      <c r="BA720" s="26"/>
      <c r="BB720" s="26"/>
      <c r="BC720" s="26"/>
      <c r="BD720" s="26">
        <v>15</v>
      </c>
      <c r="BE720" s="26">
        <v>0.33600000000000002</v>
      </c>
      <c r="BF720" s="26"/>
      <c r="BG720" s="26"/>
      <c r="BH720" s="26" t="s">
        <v>161</v>
      </c>
      <c r="BI720" s="26" t="s">
        <v>162</v>
      </c>
      <c r="BJ720" s="26" t="s">
        <v>163</v>
      </c>
      <c r="BK720" s="26"/>
      <c r="BL720" s="26"/>
      <c r="BM720" s="26"/>
      <c r="BN720" s="26" t="s">
        <v>164</v>
      </c>
      <c r="BO720" s="26">
        <f>E111</f>
        <v>0</v>
      </c>
      <c r="BP720" s="26"/>
      <c r="BQ720" s="26"/>
      <c r="BR720" s="26"/>
      <c r="BS720" s="26"/>
      <c r="BT720" s="26" t="s">
        <v>165</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3">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59</v>
      </c>
      <c r="Z721" s="26"/>
      <c r="AA721" s="26" t="e">
        <f>1-#REF!/(#REF!+#REF!)</f>
        <v>#REF!</v>
      </c>
      <c r="AB721" s="26"/>
      <c r="AC721" s="26"/>
      <c r="AD721" s="26"/>
      <c r="AE721" s="26"/>
      <c r="AF721" s="26"/>
      <c r="AG721" s="26" t="s">
        <v>168</v>
      </c>
      <c r="AH721" s="26">
        <v>39872</v>
      </c>
      <c r="AI721" s="26">
        <v>8.5</v>
      </c>
      <c r="AJ721" s="26">
        <v>9</v>
      </c>
      <c r="AK721" s="26"/>
      <c r="AL721" s="26"/>
      <c r="AM721" s="26"/>
      <c r="AN721" s="26" t="s">
        <v>169</v>
      </c>
      <c r="AO721" s="26"/>
      <c r="AP721" s="26"/>
      <c r="AQ721" s="26"/>
      <c r="AR721" s="26"/>
      <c r="AS721" s="26"/>
      <c r="AT721" s="26" t="s">
        <v>170</v>
      </c>
      <c r="AU721" s="26"/>
      <c r="AV721" s="26">
        <v>16</v>
      </c>
      <c r="AW721" s="26">
        <v>0.36</v>
      </c>
      <c r="AX721" s="26"/>
      <c r="AY721" s="26"/>
      <c r="AZ721" s="26" t="s">
        <v>171</v>
      </c>
      <c r="BA721" s="26" t="s">
        <v>171</v>
      </c>
      <c r="BB721" s="26" t="s">
        <v>172</v>
      </c>
      <c r="BC721" s="26" t="s">
        <v>173</v>
      </c>
      <c r="BD721" s="26" t="s">
        <v>174</v>
      </c>
      <c r="BE721" s="26" t="s">
        <v>175</v>
      </c>
      <c r="BF721" s="26" t="s">
        <v>176</v>
      </c>
      <c r="BG721" s="26"/>
      <c r="BH721" s="26"/>
      <c r="BI721" s="26"/>
      <c r="BJ721" s="26"/>
      <c r="BK721" s="26"/>
      <c r="BL721" s="26">
        <v>1114297</v>
      </c>
      <c r="BM721" s="26"/>
      <c r="BN721" s="26" t="s">
        <v>177</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3">
      <c r="G722" s="26"/>
      <c r="H722" s="26"/>
      <c r="I722" s="26"/>
      <c r="J722" s="26"/>
      <c r="K722" s="26"/>
      <c r="L722" s="26"/>
      <c r="M722" s="26"/>
      <c r="N722" s="26"/>
      <c r="O722" s="26">
        <f ca="1">O708*Y714</f>
        <v>0</v>
      </c>
      <c r="P722" s="26"/>
      <c r="Q722" s="26" t="s">
        <v>59</v>
      </c>
      <c r="R722" s="26"/>
      <c r="S722" s="26"/>
      <c r="T722" s="26"/>
      <c r="U722" s="26"/>
      <c r="V722" s="26" t="s">
        <v>184</v>
      </c>
      <c r="W722" s="26">
        <v>5</v>
      </c>
      <c r="X722" s="26"/>
      <c r="Y722" s="26"/>
      <c r="Z722" s="26" t="s">
        <v>59</v>
      </c>
      <c r="AA722" s="26" t="s">
        <v>59</v>
      </c>
      <c r="AB722" s="26" t="s">
        <v>185</v>
      </c>
      <c r="AC722" s="26"/>
      <c r="AD722" s="26"/>
      <c r="AE722" s="26"/>
      <c r="AF722" s="26"/>
      <c r="AG722" s="26" t="s">
        <v>186</v>
      </c>
      <c r="AH722" s="26">
        <v>39903</v>
      </c>
      <c r="AI722" s="26">
        <v>9</v>
      </c>
      <c r="AJ722" s="26" t="s">
        <v>187</v>
      </c>
      <c r="AK722" s="26" t="s">
        <v>102</v>
      </c>
      <c r="AL722" s="26" t="s">
        <v>188</v>
      </c>
      <c r="AM722" s="26">
        <f>'[1]נתוני מס'!I22</f>
        <v>395</v>
      </c>
      <c r="AN722" s="26">
        <v>10</v>
      </c>
      <c r="AO722" s="26"/>
      <c r="AP722" s="26" t="s">
        <v>189</v>
      </c>
      <c r="AQ722" s="26"/>
      <c r="AR722" s="26"/>
      <c r="AS722" s="26"/>
      <c r="AT722" s="26">
        <f>AL723</f>
        <v>21262</v>
      </c>
      <c r="AU722" s="26" t="s">
        <v>190</v>
      </c>
      <c r="AV722" s="26" t="s">
        <v>191</v>
      </c>
      <c r="AW722" s="26">
        <f>VLOOKUP(BB779,nihool,2,FALSE)</f>
        <v>0</v>
      </c>
      <c r="AX722" s="26"/>
      <c r="AY722" s="26"/>
      <c r="AZ722" s="26" t="s">
        <v>176</v>
      </c>
      <c r="BA722" s="26" t="s">
        <v>192</v>
      </c>
      <c r="BB722" s="26" t="e">
        <f>#REF!/12</f>
        <v>#REF!</v>
      </c>
      <c r="BC722" s="26" t="e">
        <f>G966</f>
        <v>#REF!</v>
      </c>
      <c r="BD722" s="26" t="e">
        <f>#REF!/12-BE812</f>
        <v>#REF!</v>
      </c>
      <c r="BE722" s="26" t="e">
        <f>(12*(E946-L807)+BB787)/12</f>
        <v>#REF!</v>
      </c>
      <c r="BF722" s="26" t="e">
        <f>(#REF!*((12-BE741/12))+BB787/12*BE742)/12+E111+BE723*((12-BE742)/12)</f>
        <v>#REF!</v>
      </c>
      <c r="BG722" s="26"/>
      <c r="BH722" s="26"/>
      <c r="BI722" s="26" t="s">
        <v>193</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3">
      <c r="G723" s="26"/>
      <c r="H723" s="26"/>
      <c r="I723" s="26"/>
      <c r="J723" s="26"/>
      <c r="K723" s="26"/>
      <c r="L723" s="26"/>
      <c r="M723" s="26"/>
      <c r="N723" s="26"/>
      <c r="O723" s="26">
        <f ca="1">SUM(O713:O716)*BB778</f>
        <v>0</v>
      </c>
      <c r="P723" s="26"/>
      <c r="Q723" s="26"/>
      <c r="R723" s="26"/>
      <c r="S723" s="26" t="s">
        <v>569</v>
      </c>
      <c r="T723" s="26"/>
      <c r="U723" s="26"/>
      <c r="V723" s="26"/>
      <c r="W723" s="26"/>
      <c r="X723" s="26"/>
      <c r="Y723" s="26" t="s">
        <v>198</v>
      </c>
      <c r="Z723" s="26" t="s">
        <v>59</v>
      </c>
      <c r="AA723" s="26" t="s">
        <v>59</v>
      </c>
      <c r="AB723" s="26" t="s">
        <v>199</v>
      </c>
      <c r="AC723" s="26"/>
      <c r="AD723" s="26"/>
      <c r="AE723" s="26" t="s">
        <v>200</v>
      </c>
      <c r="AF723" s="26"/>
      <c r="AG723" s="26" t="s">
        <v>201</v>
      </c>
      <c r="AH723" s="26">
        <v>39933</v>
      </c>
      <c r="AI723" s="26"/>
      <c r="AJ723" s="26"/>
      <c r="AK723" s="26" t="s">
        <v>190</v>
      </c>
      <c r="AL723" s="26">
        <v>21262</v>
      </c>
      <c r="AM723" s="26"/>
      <c r="AN723" s="26" t="s">
        <v>202</v>
      </c>
      <c r="AO723" s="26"/>
      <c r="AP723" s="26">
        <v>0</v>
      </c>
      <c r="AQ723" s="26"/>
      <c r="AR723" s="26"/>
      <c r="AS723" s="26"/>
      <c r="AT723" s="26"/>
      <c r="AU723" s="26"/>
      <c r="AV723" s="26" t="s">
        <v>203</v>
      </c>
      <c r="AW723" s="26">
        <f>VLOOKUP(G102,nihool,2,FALSE)</f>
        <v>0</v>
      </c>
      <c r="AX723" s="26"/>
      <c r="AY723" s="26"/>
      <c r="AZ723" s="26" t="e">
        <f>#REF!/12/#REF!+G966+E111-BE812</f>
        <v>#REF!</v>
      </c>
      <c r="BA723" s="26" t="e">
        <f>#REF!/12+G966+E111-BE812</f>
        <v>#REF!</v>
      </c>
      <c r="BB723" s="26" t="s">
        <v>204</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205</v>
      </c>
      <c r="BQ723" s="26"/>
      <c r="BR723" s="26"/>
      <c r="BS723" s="26"/>
      <c r="BT723" s="26"/>
      <c r="BU723" s="26" t="s">
        <v>206</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3">
      <c r="G724" s="26"/>
      <c r="H724" s="26"/>
      <c r="I724" s="26"/>
      <c r="J724" s="26"/>
      <c r="K724" s="26"/>
      <c r="L724" s="26"/>
      <c r="M724" s="26"/>
      <c r="N724" s="26"/>
      <c r="O724" s="26">
        <f ca="1">P724*O723</f>
        <v>0</v>
      </c>
      <c r="P724" s="26">
        <f>IF(AW722=0,0,IF((AW722+Q724)&gt;36%,36%,AW722+Q724))</f>
        <v>0</v>
      </c>
      <c r="Q724" s="26" t="e">
        <f ca="1">(F904-O710)*2.4%</f>
        <v>#REF!</v>
      </c>
      <c r="R724" s="26"/>
      <c r="S724" s="26" t="s">
        <v>570</v>
      </c>
      <c r="T724" s="26"/>
      <c r="U724" s="26"/>
      <c r="V724" s="26" t="s">
        <v>212</v>
      </c>
      <c r="W724" s="26" t="s">
        <v>200</v>
      </c>
      <c r="X724" s="26"/>
      <c r="Y724" s="26" t="s">
        <v>27</v>
      </c>
      <c r="Z724" s="26" t="s">
        <v>59</v>
      </c>
      <c r="AA724" s="26" t="s">
        <v>59</v>
      </c>
      <c r="AB724" s="26" t="s">
        <v>213</v>
      </c>
      <c r="AC724" s="26"/>
      <c r="AD724" s="26"/>
      <c r="AE724" s="26"/>
      <c r="AF724" s="26"/>
      <c r="AG724" s="26" t="s">
        <v>214</v>
      </c>
      <c r="AH724" s="26">
        <v>39964</v>
      </c>
      <c r="AI724" s="26"/>
      <c r="AJ724" s="26"/>
      <c r="AK724" s="26" t="s">
        <v>215</v>
      </c>
      <c r="AL724" s="26" t="s">
        <v>216</v>
      </c>
      <c r="AM724" s="26"/>
      <c r="AN724" s="26">
        <v>11</v>
      </c>
      <c r="AO724" s="26"/>
      <c r="AP724" s="26">
        <v>0.5</v>
      </c>
      <c r="AQ724" s="26"/>
      <c r="AR724" s="26"/>
      <c r="AS724" s="26" t="s">
        <v>59</v>
      </c>
      <c r="AT724" s="26">
        <v>17288</v>
      </c>
      <c r="AU724" s="26">
        <v>17288</v>
      </c>
      <c r="AV724" s="26"/>
      <c r="AW724" s="26" t="s">
        <v>217</v>
      </c>
      <c r="AX724" s="26"/>
      <c r="AY724" s="26"/>
      <c r="AZ724" s="26" t="s">
        <v>218</v>
      </c>
      <c r="BA724" s="26"/>
      <c r="BB724" s="26"/>
      <c r="BC724" s="26" t="s">
        <v>219</v>
      </c>
      <c r="BD724" s="26" t="s">
        <v>220</v>
      </c>
      <c r="BE724" s="26" t="s">
        <v>173</v>
      </c>
      <c r="BF724" s="26" t="s">
        <v>221</v>
      </c>
      <c r="BG724" s="26" t="s">
        <v>222</v>
      </c>
      <c r="BH724" s="26" t="s">
        <v>223</v>
      </c>
      <c r="BI724" s="26" t="s">
        <v>224</v>
      </c>
      <c r="BJ724" s="26"/>
      <c r="BK724" s="26" t="s">
        <v>225</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3">
      <c r="G725" s="26"/>
      <c r="H725" s="26"/>
      <c r="I725" s="26"/>
      <c r="J725" s="26"/>
      <c r="K725" s="26"/>
      <c r="L725" s="26"/>
      <c r="M725" s="26"/>
      <c r="N725" s="26"/>
      <c r="O725" s="26"/>
      <c r="P725" s="26"/>
      <c r="Q725" s="26"/>
      <c r="R725" s="26"/>
      <c r="S725" s="26" t="s">
        <v>571</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3">
      <c r="G726" s="26"/>
      <c r="H726" s="26"/>
      <c r="I726" s="26"/>
      <c r="J726" s="26"/>
      <c r="K726" s="26"/>
      <c r="L726" s="26"/>
      <c r="M726" s="26"/>
      <c r="N726" s="26"/>
      <c r="O726" s="26"/>
      <c r="P726" s="26"/>
      <c r="Q726" s="26"/>
      <c r="R726" s="26"/>
      <c r="S726" s="26" t="s">
        <v>572</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3">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3">
      <c r="G728" s="26"/>
      <c r="H728" s="26"/>
      <c r="I728" s="26"/>
      <c r="J728" s="26"/>
      <c r="K728" s="26"/>
      <c r="L728" s="26"/>
      <c r="M728" s="26"/>
      <c r="N728" s="26"/>
      <c r="O728" s="26"/>
      <c r="P728" s="26"/>
      <c r="Q728" s="26"/>
      <c r="R728" s="26"/>
      <c r="S728" s="26"/>
      <c r="T728" s="26"/>
      <c r="U728" s="26"/>
      <c r="V728" s="26"/>
      <c r="W728" s="26"/>
      <c r="X728" s="26" t="s">
        <v>573</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3">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3">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3">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3">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230</v>
      </c>
      <c r="W732" s="26"/>
      <c r="X732" s="26"/>
      <c r="Y732" s="26"/>
      <c r="Z732" s="26" t="s">
        <v>59</v>
      </c>
      <c r="AA732" s="26" t="s">
        <v>59</v>
      </c>
      <c r="AB732" s="26" t="s">
        <v>231</v>
      </c>
      <c r="AC732" s="26" t="s">
        <v>59</v>
      </c>
      <c r="AD732" s="26"/>
      <c r="AE732" s="26" t="s">
        <v>232</v>
      </c>
      <c r="AF732" s="26"/>
      <c r="AG732" s="26" t="s">
        <v>233</v>
      </c>
      <c r="AH732" s="26">
        <v>39994</v>
      </c>
      <c r="AI732" s="26"/>
      <c r="AJ732" s="26"/>
      <c r="AK732" s="26" t="s">
        <v>234</v>
      </c>
      <c r="AL732" s="26">
        <v>28734</v>
      </c>
      <c r="AM732" s="26"/>
      <c r="AN732" s="26" t="s">
        <v>235</v>
      </c>
      <c r="AO732" s="26"/>
      <c r="AP732" s="26">
        <v>1</v>
      </c>
      <c r="AQ732" s="26"/>
      <c r="AR732" s="26"/>
      <c r="AS732" s="26" t="s">
        <v>59</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3">
      <c r="G733" s="26"/>
      <c r="H733" s="26"/>
      <c r="I733" s="26"/>
      <c r="J733" s="26"/>
      <c r="K733" s="26"/>
      <c r="L733" s="26"/>
      <c r="M733" s="26"/>
      <c r="N733" s="26"/>
      <c r="O733" s="26">
        <f ca="1">SUM(O713:O716)*W739</f>
        <v>0</v>
      </c>
      <c r="P733" s="26"/>
      <c r="Q733" s="26"/>
      <c r="R733" s="26"/>
      <c r="S733" s="26"/>
      <c r="T733" s="26"/>
      <c r="U733" s="26" t="s">
        <v>239</v>
      </c>
      <c r="V733" s="26"/>
      <c r="W733" s="26">
        <v>0</v>
      </c>
      <c r="X733" s="26"/>
      <c r="Y733" s="26"/>
      <c r="Z733" s="26" t="s">
        <v>59</v>
      </c>
      <c r="AA733" s="26" t="s">
        <v>240</v>
      </c>
      <c r="AB733" s="26" t="s">
        <v>241</v>
      </c>
      <c r="AC733" s="26"/>
      <c r="AD733" s="26"/>
      <c r="AE733" s="26" t="s">
        <v>242</v>
      </c>
      <c r="AF733" s="26">
        <v>389</v>
      </c>
      <c r="AG733" s="26" t="s">
        <v>243</v>
      </c>
      <c r="AH733" s="26">
        <v>40025</v>
      </c>
      <c r="AI733" s="26"/>
      <c r="AJ733" s="26"/>
      <c r="AK733" s="26">
        <v>16</v>
      </c>
      <c r="AL733" s="26">
        <v>11</v>
      </c>
      <c r="AM733" s="26"/>
      <c r="AN733" s="26">
        <v>12</v>
      </c>
      <c r="AO733" s="26"/>
      <c r="AP733" s="26">
        <v>1.5</v>
      </c>
      <c r="AQ733" s="26"/>
      <c r="AR733" s="26"/>
      <c r="AS733" s="26" t="s">
        <v>59</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3">
      <c r="G734" s="26"/>
      <c r="H734" s="26"/>
      <c r="I734" s="26"/>
      <c r="J734" s="26"/>
      <c r="K734" s="26"/>
      <c r="L734" s="26"/>
      <c r="M734" s="26"/>
      <c r="N734" s="26"/>
      <c r="O734" s="26">
        <f ca="1">O708*BB782</f>
        <v>0</v>
      </c>
      <c r="P734" s="26"/>
      <c r="Q734" s="26"/>
      <c r="R734" s="26"/>
      <c r="S734" s="26" t="s">
        <v>252</v>
      </c>
      <c r="T734" s="26"/>
      <c r="U734" s="26"/>
      <c r="V734" s="26"/>
      <c r="W734" s="26"/>
      <c r="X734" s="26"/>
      <c r="Y734" s="26"/>
      <c r="Z734" s="26" t="s">
        <v>59</v>
      </c>
      <c r="AA734" s="26"/>
      <c r="AB734" s="26" t="s">
        <v>59</v>
      </c>
      <c r="AC734" s="26"/>
      <c r="AD734" s="26"/>
      <c r="AE734" s="26" t="s">
        <v>253</v>
      </c>
      <c r="AF734" s="26">
        <v>0.59709999999999996</v>
      </c>
      <c r="AG734" s="26" t="s">
        <v>254</v>
      </c>
      <c r="AH734" s="26">
        <v>40056</v>
      </c>
      <c r="AI734" s="26"/>
      <c r="AJ734" s="26"/>
      <c r="AK734" s="26">
        <v>20</v>
      </c>
      <c r="AL734" s="26">
        <v>12</v>
      </c>
      <c r="AM734" s="26"/>
      <c r="AN734" s="26" t="s">
        <v>255</v>
      </c>
      <c r="AO734" s="26" t="s">
        <v>256</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257</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3">
      <c r="G735" s="26"/>
      <c r="H735" s="26"/>
      <c r="I735" s="26"/>
      <c r="J735" s="26"/>
      <c r="K735" s="26"/>
      <c r="L735" s="26"/>
      <c r="M735" s="26"/>
      <c r="N735" s="26"/>
      <c r="O735" s="26">
        <f>BB783</f>
        <v>0</v>
      </c>
      <c r="P735" s="26"/>
      <c r="Q735" s="26"/>
      <c r="R735" s="26">
        <f>IF(BB769=BW719,10%,IF(BB769=BX719,5%,0))</f>
        <v>0.1</v>
      </c>
      <c r="S735" s="26" t="s">
        <v>263</v>
      </c>
      <c r="T735" s="26"/>
      <c r="U735" s="26"/>
      <c r="V735" s="26"/>
      <c r="W735" s="26"/>
      <c r="X735" s="26">
        <v>40147</v>
      </c>
      <c r="Y735" s="26"/>
      <c r="Z735" s="26" t="s">
        <v>264</v>
      </c>
      <c r="AA735" s="26" t="e">
        <f>IF(BA760&lt;60,MIN(AV753:AV755),0)</f>
        <v>#REF!</v>
      </c>
      <c r="AB735" s="26"/>
      <c r="AC735" s="26"/>
      <c r="AD735" s="26"/>
      <c r="AE735" s="26" t="s">
        <v>265</v>
      </c>
      <c r="AF735" s="26">
        <v>40574</v>
      </c>
      <c r="AG735" s="26" t="s">
        <v>151</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138</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3">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216</v>
      </c>
      <c r="AF736" s="26"/>
      <c r="AG736" s="26" t="s">
        <v>272</v>
      </c>
      <c r="AH736" s="26">
        <v>40117</v>
      </c>
      <c r="AI736" s="26"/>
      <c r="AJ736" s="26"/>
      <c r="AK736" s="26"/>
      <c r="AL736" s="26"/>
      <c r="AM736" s="26"/>
      <c r="AN736" s="26" t="s">
        <v>273</v>
      </c>
      <c r="AO736" s="26" t="s">
        <v>274</v>
      </c>
      <c r="AP736" s="26">
        <v>3</v>
      </c>
      <c r="AQ736" s="26"/>
      <c r="AR736" s="26"/>
      <c r="AS736" s="26"/>
      <c r="AT736" s="26">
        <v>19238</v>
      </c>
      <c r="AU736" s="26">
        <v>19238</v>
      </c>
      <c r="AV736" s="26"/>
      <c r="AW736" s="26" t="s">
        <v>275</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224</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3">
      <c r="G737" s="26"/>
      <c r="H737" s="26"/>
      <c r="I737" s="26"/>
      <c r="J737" s="26"/>
      <c r="K737" s="26"/>
      <c r="L737" s="26"/>
      <c r="M737" s="26"/>
      <c r="N737" s="26"/>
      <c r="O737" s="26" t="e">
        <f ca="1">(O736*Q711+D946*G945)/O712</f>
        <v>#REF!</v>
      </c>
      <c r="P737" s="26" t="s">
        <v>59</v>
      </c>
      <c r="Q737" s="26"/>
      <c r="R737" s="26"/>
      <c r="S737" s="26"/>
      <c r="T737" s="26"/>
      <c r="U737" s="26"/>
      <c r="V737" s="26"/>
      <c r="W737" s="26"/>
      <c r="X737" s="26"/>
      <c r="Y737" s="26"/>
      <c r="Z737" s="26" t="s">
        <v>275</v>
      </c>
      <c r="AA737" s="26">
        <f ca="1">YEAR(AF735)-YEAR(I775)+AX736</f>
        <v>20</v>
      </c>
      <c r="AB737" s="26"/>
      <c r="AC737" s="26"/>
      <c r="AD737" s="26" t="s">
        <v>280</v>
      </c>
      <c r="AE737" s="26" t="s">
        <v>281</v>
      </c>
      <c r="AF737" s="26" t="s">
        <v>282</v>
      </c>
      <c r="AG737" s="26" t="s">
        <v>283</v>
      </c>
      <c r="AH737" s="26">
        <v>40147</v>
      </c>
      <c r="AI737" s="26"/>
      <c r="AJ737" s="26"/>
      <c r="AK737" s="26"/>
      <c r="AL737" s="26" t="s">
        <v>59</v>
      </c>
      <c r="AM737" s="26">
        <f ca="1">VLOOKUP(AA737,__HAV2,2,TRUE)</f>
        <v>12</v>
      </c>
      <c r="AN737" s="26">
        <v>14</v>
      </c>
      <c r="AO737" s="26">
        <v>35</v>
      </c>
      <c r="AP737" s="26"/>
      <c r="AQ737" s="26"/>
      <c r="AR737" s="26"/>
      <c r="AS737" s="26"/>
      <c r="AT737" s="26">
        <v>19480</v>
      </c>
      <c r="AU737" s="26">
        <v>19480</v>
      </c>
      <c r="AV737" s="26" t="s">
        <v>284</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285</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3">
      <c r="G738" s="26"/>
      <c r="H738" s="26"/>
      <c r="I738" s="26"/>
      <c r="J738" s="26"/>
      <c r="K738" s="26"/>
      <c r="L738" s="26"/>
      <c r="M738" s="26" t="s">
        <v>54</v>
      </c>
      <c r="N738" s="26">
        <f ca="1">ROUND((I775-AT720)/365.25,2)</f>
        <v>13.33</v>
      </c>
      <c r="O738" s="26"/>
      <c r="P738" s="26"/>
      <c r="Q738" s="26"/>
      <c r="R738" s="26"/>
      <c r="S738" s="26"/>
      <c r="T738" s="26"/>
      <c r="U738" s="26"/>
      <c r="V738" s="26" t="s">
        <v>574</v>
      </c>
      <c r="W738" s="26"/>
      <c r="X738" s="26">
        <v>164.07</v>
      </c>
      <c r="Y738" s="26"/>
      <c r="Z738" s="26" t="s">
        <v>292</v>
      </c>
      <c r="AA738" s="26">
        <f>AX734</f>
        <v>33</v>
      </c>
      <c r="AB738" s="26"/>
      <c r="AC738" s="26" t="s">
        <v>191</v>
      </c>
      <c r="AD738" s="26">
        <f>IF(AX734&gt;AA739,AA739,AX734)</f>
        <v>33</v>
      </c>
      <c r="AE738" s="26" t="e">
        <f>IF(W724=#REF!,1.5*AF738,1*AF738)</f>
        <v>#REF!</v>
      </c>
      <c r="AF738" s="26">
        <f>IF(W724=AE723,1,IF(AX734&gt;30,0.75,1))</f>
        <v>1</v>
      </c>
      <c r="AG738" s="26" t="s">
        <v>293</v>
      </c>
      <c r="AH738" s="26">
        <v>40178</v>
      </c>
      <c r="AI738" s="26"/>
      <c r="AJ738" s="26"/>
      <c r="AK738" s="26"/>
      <c r="AL738" s="26"/>
      <c r="AM738" s="26"/>
      <c r="AN738" s="26" t="s">
        <v>294</v>
      </c>
      <c r="AO738" s="26" t="s">
        <v>295</v>
      </c>
      <c r="AP738" s="26"/>
      <c r="AQ738" s="26"/>
      <c r="AR738" s="26"/>
      <c r="AS738" s="26"/>
      <c r="AT738" s="26"/>
      <c r="AU738" s="26"/>
      <c r="AV738" s="26"/>
      <c r="AW738" s="26" t="s">
        <v>59</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3">
      <c r="G739" s="26"/>
      <c r="H739" s="26"/>
      <c r="I739" s="26"/>
      <c r="J739" s="26"/>
      <c r="K739" s="26"/>
      <c r="L739" s="26"/>
      <c r="M739" s="26" t="s">
        <v>59</v>
      </c>
      <c r="N739" s="26"/>
      <c r="O739" s="26"/>
      <c r="P739" s="26"/>
      <c r="Q739" s="26"/>
      <c r="R739" s="26"/>
      <c r="S739" s="26"/>
      <c r="T739" s="26"/>
      <c r="U739" s="26"/>
      <c r="V739" s="26" t="s">
        <v>302</v>
      </c>
      <c r="W739" s="26">
        <f>IF(BB781=Y723,12%,0)</f>
        <v>0</v>
      </c>
      <c r="X739" s="26"/>
      <c r="Y739" s="26"/>
      <c r="Z739" s="26" t="s">
        <v>303</v>
      </c>
      <c r="AA739" s="26">
        <v>36</v>
      </c>
      <c r="AB739" s="26"/>
      <c r="AC739" s="26" t="s">
        <v>304</v>
      </c>
      <c r="AD739" s="26">
        <f ca="1">IF((AD738+AB748)&gt;AA739,AA739,AD738+AB748)</f>
        <v>20</v>
      </c>
      <c r="AE739" s="26"/>
      <c r="AF739" s="26"/>
      <c r="AG739" s="26"/>
      <c r="AH739" s="26">
        <v>40209</v>
      </c>
      <c r="AI739" s="26"/>
      <c r="AJ739" s="26"/>
      <c r="AK739" s="26"/>
      <c r="AL739" s="26"/>
      <c r="AM739" s="26"/>
      <c r="AN739" s="26">
        <v>15</v>
      </c>
      <c r="AO739" s="26">
        <v>36</v>
      </c>
      <c r="AP739" s="26"/>
      <c r="AQ739" s="26"/>
      <c r="AR739" s="26" t="s">
        <v>305</v>
      </c>
      <c r="AS739" s="26"/>
      <c r="AT739" s="26">
        <f ca="1">IF(MONTH(I775)=1,1,0)</f>
        <v>1</v>
      </c>
      <c r="AU739" s="26"/>
      <c r="AV739" s="26" t="s">
        <v>306</v>
      </c>
      <c r="AW739" s="26" t="e">
        <f>(L807-#REF!)*12</f>
        <v>#REF!</v>
      </c>
      <c r="AX739" s="26"/>
      <c r="AY739" s="26"/>
      <c r="AZ739" s="26"/>
      <c r="BA739" s="26" t="s">
        <v>307</v>
      </c>
      <c r="BB739" s="26" t="s">
        <v>308</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309</v>
      </c>
      <c r="BL739" s="26"/>
      <c r="BM739" s="26"/>
      <c r="BN739" s="26" t="e">
        <f ca="1">IF($BM$738=0%,BN737,IF(BN724&lt;$BK$723,BN737*$BD$809,BN737-($BK$738*BN738)))</f>
        <v>#REF!</v>
      </c>
      <c r="BO739" s="26"/>
      <c r="BP739" s="26" t="e">
        <f ca="1">IF($BM$738=0%,BP737,IF(BP724&lt;$BK$723,BP737*$BD$809,BP737-($BK$738*BP738)))</f>
        <v>#REF!</v>
      </c>
      <c r="BQ739" s="26" t="s">
        <v>310</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3">
      <c r="G740" s="26"/>
      <c r="H740" s="26"/>
      <c r="I740" s="26"/>
      <c r="J740" s="26"/>
      <c r="K740" s="26"/>
      <c r="L740" s="26"/>
      <c r="M740" s="26"/>
      <c r="N740" s="26"/>
      <c r="O740" s="26"/>
      <c r="P740" s="26"/>
      <c r="Q740" s="26"/>
      <c r="R740" s="26"/>
      <c r="S740" s="26"/>
      <c r="T740" s="26"/>
      <c r="U740" s="26"/>
      <c r="V740" s="26"/>
      <c r="W740" s="26"/>
      <c r="X740" s="26"/>
      <c r="Y740" s="26"/>
      <c r="Z740" s="26"/>
      <c r="AA740" s="26"/>
      <c r="AB740" s="26" t="s">
        <v>314</v>
      </c>
      <c r="AC740" s="26"/>
      <c r="AD740" s="26"/>
      <c r="AE740" s="26" t="e">
        <f>(100-AE738)/100</f>
        <v>#REF!</v>
      </c>
      <c r="AF740" s="26"/>
      <c r="AG740" s="26"/>
      <c r="AH740" s="26">
        <v>40237</v>
      </c>
      <c r="AI740" s="26"/>
      <c r="AJ740" s="26" t="s">
        <v>315</v>
      </c>
      <c r="AK740" s="26"/>
      <c r="AL740" s="26"/>
      <c r="AM740" s="26"/>
      <c r="AN740" s="26" t="s">
        <v>316</v>
      </c>
      <c r="AO740" s="26" t="s">
        <v>317</v>
      </c>
      <c r="AP740" s="26"/>
      <c r="AQ740" s="26"/>
      <c r="AR740" s="26"/>
      <c r="AS740" s="26"/>
      <c r="AT740" s="26" t="s">
        <v>59</v>
      </c>
      <c r="AU740" s="26"/>
      <c r="AV740" s="26" t="s">
        <v>59</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318</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3">
      <c r="G741" s="26"/>
      <c r="H741" s="26"/>
      <c r="I741" s="26"/>
      <c r="J741" s="26"/>
      <c r="K741" s="26"/>
      <c r="L741" s="26"/>
      <c r="M741" s="26"/>
      <c r="N741" s="26"/>
      <c r="O741" s="26"/>
      <c r="P741" s="26"/>
      <c r="Q741" s="26"/>
      <c r="R741" s="26"/>
      <c r="S741" s="26"/>
      <c r="T741" s="26"/>
      <c r="U741" s="26"/>
      <c r="V741" s="26" t="s">
        <v>321</v>
      </c>
      <c r="W741" s="26"/>
      <c r="X741" s="26"/>
      <c r="Y741" s="26"/>
      <c r="Z741" s="26" t="s">
        <v>322</v>
      </c>
      <c r="AA741" s="26"/>
      <c r="AB741" s="26" t="s">
        <v>323</v>
      </c>
      <c r="AC741" s="26"/>
      <c r="AD741" s="26"/>
      <c r="AE741" s="26"/>
      <c r="AF741" s="26"/>
      <c r="AG741" s="26"/>
      <c r="AH741" s="26">
        <v>40268</v>
      </c>
      <c r="AI741" s="26"/>
      <c r="AJ741" s="26">
        <f ca="1">DATE(YEAR(I775),MONTH(I775)-MONTH(I775)+1,DAY(I775)-DAY(I775)+1)</f>
        <v>45292</v>
      </c>
      <c r="AK741" s="26">
        <f ca="1">ROUND((AJ741-AL732)/365.25,2)</f>
        <v>45.33</v>
      </c>
      <c r="AL741" s="26"/>
      <c r="AM741" s="26"/>
      <c r="AN741" s="26">
        <v>16</v>
      </c>
      <c r="AO741" s="26">
        <v>37</v>
      </c>
      <c r="AP741" s="26" t="s">
        <v>59</v>
      </c>
      <c r="AQ741" s="26"/>
      <c r="AR741" s="26"/>
      <c r="AS741" s="26"/>
      <c r="AT741" s="26"/>
      <c r="AU741" s="26"/>
      <c r="AV741" s="26">
        <f>IF(24.75-BB771-BB772&lt;=0,0,IF((24.75-BB771-BB772)&gt;#REF!,#REF!*#REF!*0.6,(24.75-BB771-BB772)*#REF!*0.6))</f>
        <v>0</v>
      </c>
      <c r="AW741" s="26"/>
      <c r="AX741" s="26"/>
      <c r="AY741" s="26"/>
      <c r="AZ741" s="26"/>
      <c r="BA741" s="26"/>
      <c r="BB741" s="26" t="s">
        <v>324</v>
      </c>
      <c r="BC741" s="26"/>
      <c r="BD741" s="26"/>
      <c r="BE741" s="26">
        <f>IF(MONTH(AF735)&gt;9,0,MONTH(AF735)-1+DAY(AF735)/30)</f>
        <v>1.0333333333333334</v>
      </c>
      <c r="BF741" s="26"/>
      <c r="BG741" s="26" t="s">
        <v>325</v>
      </c>
      <c r="BH741" s="26" t="e">
        <f>IF(BH740=0,0,(BH740-(BB786*BH742)*12)-BK741)</f>
        <v>#REF!</v>
      </c>
      <c r="BI741" s="26" t="s">
        <v>326</v>
      </c>
      <c r="BJ741" s="26" t="s">
        <v>327</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3">
      <c r="G742" s="26"/>
      <c r="H742" s="26"/>
      <c r="I742" s="26"/>
      <c r="J742" s="26"/>
      <c r="K742" s="26"/>
      <c r="L742" s="26"/>
      <c r="M742" s="26">
        <f>VLOOKUP(INT(W752),horaa2,AM720+2,FALSE)*(1)</f>
        <v>6975.17</v>
      </c>
      <c r="N742" s="26"/>
      <c r="O742" s="26"/>
      <c r="P742" s="26"/>
      <c r="Q742" s="26"/>
      <c r="R742" s="26"/>
      <c r="S742" s="26"/>
      <c r="T742" s="26"/>
      <c r="U742" s="26" t="s">
        <v>59</v>
      </c>
      <c r="V742" s="26" t="s">
        <v>332</v>
      </c>
      <c r="W742" s="26" t="s">
        <v>252</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333</v>
      </c>
      <c r="AO742" s="26" t="s">
        <v>334</v>
      </c>
      <c r="AP742" s="26"/>
      <c r="AQ742" s="26"/>
      <c r="AR742" s="26"/>
      <c r="AS742" s="26" t="s">
        <v>335</v>
      </c>
      <c r="AT742" s="26">
        <f ca="1">ROUND(G906,0)</f>
        <v>-11</v>
      </c>
      <c r="AU742" s="26"/>
      <c r="AV742" s="26" t="e">
        <f>IF(G911&lt;70%,IF(#REF!* 2% &gt;70%-G911,70%-G911,#REF!*2%),IF(G909+G910-G911&lt;=0,0,G909+G910-G911))</f>
        <v>#REF!</v>
      </c>
      <c r="AW742" s="26"/>
      <c r="AX742" s="26"/>
      <c r="AY742" s="26"/>
      <c r="AZ742" s="26"/>
      <c r="BA742" s="26"/>
      <c r="BB742" s="26" t="s">
        <v>336</v>
      </c>
      <c r="BC742" s="26"/>
      <c r="BD742" s="26"/>
      <c r="BE742" s="26">
        <f>MONTH(AF735)-1+DAY(AF735)/30</f>
        <v>1.0333333333333334</v>
      </c>
      <c r="BF742" s="26"/>
      <c r="BG742" s="26" t="s">
        <v>337</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3">
      <c r="G743" s="26"/>
      <c r="H743" s="26"/>
      <c r="I743" s="26"/>
      <c r="J743" s="26"/>
      <c r="K743" s="26"/>
      <c r="L743" s="26"/>
      <c r="M743" s="26"/>
      <c r="N743" s="26"/>
      <c r="O743" s="26"/>
      <c r="P743" s="26"/>
      <c r="Q743" s="26"/>
      <c r="R743" s="26"/>
      <c r="S743" s="26"/>
      <c r="T743" s="26"/>
      <c r="U743" s="26"/>
      <c r="V743" s="26" t="s">
        <v>339</v>
      </c>
      <c r="W743" s="26" t="s">
        <v>130</v>
      </c>
      <c r="X743" s="26"/>
      <c r="Y743" s="26"/>
      <c r="Z743" s="26" t="s">
        <v>59</v>
      </c>
      <c r="AA743" s="26"/>
      <c r="AB743" s="26"/>
      <c r="AC743" s="26"/>
      <c r="AD743" s="26" t="s">
        <v>340</v>
      </c>
      <c r="AE743" s="26">
        <f>L807*0.36</f>
        <v>5184.4128898677536</v>
      </c>
      <c r="AF743" s="26"/>
      <c r="AG743" s="26"/>
      <c r="AH743" s="26">
        <v>40329</v>
      </c>
      <c r="AI743" s="26"/>
      <c r="AJ743" s="26" t="s">
        <v>341</v>
      </c>
      <c r="AK743" s="26" t="s">
        <v>342</v>
      </c>
      <c r="AL743" s="26"/>
      <c r="AM743" s="26"/>
      <c r="AN743" s="26">
        <v>17</v>
      </c>
      <c r="AO743" s="26">
        <v>38</v>
      </c>
      <c r="AP743" s="26"/>
      <c r="AQ743" s="26"/>
      <c r="AR743" s="26"/>
      <c r="AS743" s="26" t="s">
        <v>343</v>
      </c>
      <c r="AT743" s="26" t="s">
        <v>59</v>
      </c>
      <c r="AU743" s="26"/>
      <c r="AV743" s="26"/>
      <c r="AW743" s="26"/>
      <c r="AX743" s="26"/>
      <c r="AY743" s="26"/>
      <c r="AZ743" s="26"/>
      <c r="BA743" s="26"/>
      <c r="BB743" s="26"/>
      <c r="BC743" s="26"/>
      <c r="BD743" s="26"/>
      <c r="BE743" s="26"/>
      <c r="BF743" s="26"/>
      <c r="BG743" s="26" t="s">
        <v>344</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59</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3">
      <c r="G744" s="26"/>
      <c r="H744" s="26"/>
      <c r="I744" s="26"/>
      <c r="J744" s="26"/>
      <c r="K744" s="26"/>
      <c r="L744" s="26"/>
      <c r="M744" s="26"/>
      <c r="N744" s="26" t="s">
        <v>88</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348</v>
      </c>
      <c r="AO744" s="26" t="s">
        <v>349</v>
      </c>
      <c r="AP744" s="26"/>
      <c r="AQ744" s="26"/>
      <c r="AR744" s="26"/>
      <c r="AS744" s="26" t="s">
        <v>350</v>
      </c>
      <c r="AT744" s="26">
        <f ca="1">(AT746*2)/100</f>
        <v>-1.8333333333333333E-2</v>
      </c>
      <c r="AU744" s="26"/>
      <c r="AV744" s="26"/>
      <c r="AW744" s="26"/>
      <c r="AX744" s="26"/>
      <c r="AY744" s="26"/>
      <c r="AZ744" s="26"/>
      <c r="BA744" s="26"/>
      <c r="BB744" s="26"/>
      <c r="BC744" s="26"/>
      <c r="BD744" s="26"/>
      <c r="BE744" s="26"/>
      <c r="BF744" s="26" t="s">
        <v>59</v>
      </c>
      <c r="BG744" s="26" t="s">
        <v>351</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3">
      <c r="G745" s="26"/>
      <c r="H745" s="26"/>
      <c r="I745" s="26"/>
      <c r="J745" s="26"/>
      <c r="K745" s="26"/>
      <c r="L745" s="26"/>
      <c r="M745" s="26"/>
      <c r="N745" s="26" t="s">
        <v>95</v>
      </c>
      <c r="O745" s="26"/>
      <c r="P745" s="26"/>
      <c r="Q745" s="26"/>
      <c r="R745" s="26"/>
      <c r="S745" s="26"/>
      <c r="T745" s="26" t="s">
        <v>353</v>
      </c>
      <c r="U745" s="26"/>
      <c r="V745" s="26">
        <v>0</v>
      </c>
      <c r="W745" s="26" t="s">
        <v>354</v>
      </c>
      <c r="X745" s="26"/>
      <c r="Y745" s="26"/>
      <c r="Z745" s="26"/>
      <c r="AA745" s="26" t="s">
        <v>8</v>
      </c>
      <c r="AB745" s="26" t="s">
        <v>355</v>
      </c>
      <c r="AC745" s="26" t="s">
        <v>356</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3">
      <c r="G746" s="26"/>
      <c r="H746" s="26"/>
      <c r="I746" s="26"/>
      <c r="J746" s="26"/>
      <c r="K746" s="26"/>
      <c r="L746" s="26"/>
      <c r="M746" s="26"/>
      <c r="N746" s="26" t="s">
        <v>103</v>
      </c>
      <c r="O746" s="26"/>
      <c r="P746" s="26"/>
      <c r="Q746" s="26"/>
      <c r="R746" s="26"/>
      <c r="S746" s="26"/>
      <c r="T746" s="26" t="s">
        <v>357</v>
      </c>
      <c r="U746" s="26"/>
      <c r="V746" s="26" t="s">
        <v>358</v>
      </c>
      <c r="W746" s="26" t="s">
        <v>359</v>
      </c>
      <c r="X746" s="26"/>
      <c r="Y746" s="26"/>
      <c r="Z746" s="26"/>
      <c r="AA746" s="26" t="s">
        <v>71</v>
      </c>
      <c r="AB746" s="26">
        <f>IF(AX734&lt;AA739,AX734-INT(AX734),0)</f>
        <v>0</v>
      </c>
      <c r="AC746" s="26" t="s">
        <v>360</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361</v>
      </c>
      <c r="AO746" s="26" t="s">
        <v>362</v>
      </c>
      <c r="AP746" s="26"/>
      <c r="AQ746" s="26"/>
      <c r="AR746" s="26"/>
      <c r="AS746" s="26" t="s">
        <v>363</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3">
      <c r="G747" s="26"/>
      <c r="H747" s="26"/>
      <c r="I747" s="26"/>
      <c r="J747" s="26"/>
      <c r="K747" s="26"/>
      <c r="L747" s="26"/>
      <c r="M747" s="26">
        <f>VLOOKUP(INT(W752),horaa2,AM720+2,FALSE)*(1)*AX737</f>
        <v>6975.17</v>
      </c>
      <c r="N747" s="26" t="s">
        <v>113</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304</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365</v>
      </c>
      <c r="AW747" s="26" t="s">
        <v>366</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3">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370</v>
      </c>
      <c r="AB748" s="26">
        <f ca="1">YEAR(AF735)-YEAR(I775)</f>
        <v>-13</v>
      </c>
      <c r="AC748" s="26"/>
      <c r="AD748" s="26"/>
      <c r="AE748" s="26"/>
      <c r="AF748" s="26"/>
      <c r="AG748" s="26"/>
      <c r="AH748" s="26">
        <v>40482</v>
      </c>
      <c r="AI748" s="26"/>
      <c r="AJ748" s="26"/>
      <c r="AK748" s="26"/>
      <c r="AL748" s="26"/>
      <c r="AM748" s="26"/>
      <c r="AN748" s="26" t="s">
        <v>371</v>
      </c>
      <c r="AO748" s="26" t="s">
        <v>372</v>
      </c>
      <c r="AP748" s="26"/>
      <c r="AQ748" s="26"/>
      <c r="AR748" s="26"/>
      <c r="AS748" s="26"/>
      <c r="AT748" s="26" t="s">
        <v>373</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59</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3">
      <c r="G749" s="26"/>
      <c r="H749" s="26"/>
      <c r="I749" s="26"/>
      <c r="J749" s="26"/>
      <c r="K749" s="26"/>
      <c r="L749" s="26"/>
      <c r="M749" s="26">
        <f>L786</f>
        <v>0</v>
      </c>
      <c r="N749" s="26" t="e">
        <f>#REF!</f>
        <v>#REF!</v>
      </c>
      <c r="O749" s="26"/>
      <c r="P749" s="26"/>
      <c r="Q749" s="26"/>
      <c r="R749" s="26"/>
      <c r="S749" s="26"/>
      <c r="T749" s="26"/>
      <c r="U749" s="26"/>
      <c r="V749" s="26" t="s">
        <v>376</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377</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378</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3">
      <c r="G750" s="26"/>
      <c r="H750" s="26"/>
      <c r="I750" s="26"/>
      <c r="J750" s="26"/>
      <c r="K750" s="26"/>
      <c r="L750" s="26"/>
      <c r="M750" s="26">
        <f>(M747+M748)*S706</f>
        <v>345.57084730999998</v>
      </c>
      <c r="N750" s="26" t="e">
        <f>#REF!</f>
        <v>#REF!</v>
      </c>
      <c r="O750" s="26"/>
      <c r="P750" s="26"/>
      <c r="Q750" s="26"/>
      <c r="R750" s="26"/>
      <c r="S750" s="26"/>
      <c r="T750" s="26"/>
      <c r="U750" s="26"/>
      <c r="V750" s="26" t="s">
        <v>379</v>
      </c>
      <c r="W750" s="26">
        <v>0</v>
      </c>
      <c r="X750" s="26"/>
      <c r="Y750" s="26"/>
      <c r="Z750" s="26"/>
      <c r="AA750" s="26"/>
      <c r="AB750" s="26"/>
      <c r="AC750" s="26" t="s">
        <v>360</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380</v>
      </c>
      <c r="AO750" s="26" t="s">
        <v>381</v>
      </c>
      <c r="AP750" s="26"/>
      <c r="AQ750" s="26"/>
      <c r="AR750" s="26"/>
      <c r="AS750" s="26"/>
      <c r="AT750" s="26"/>
      <c r="AU750" s="26"/>
      <c r="AV750" s="26"/>
      <c r="AW750" s="26"/>
      <c r="AX750" s="26"/>
      <c r="AY750" s="26"/>
      <c r="AZ750" s="26"/>
      <c r="BA750" s="26"/>
      <c r="BB750" s="26"/>
      <c r="BC750" s="26"/>
      <c r="BD750" s="26"/>
      <c r="BE750" s="26" t="s">
        <v>59</v>
      </c>
      <c r="BF750" s="26" t="s">
        <v>382</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3">
      <c r="G751" s="26"/>
      <c r="H751" s="26"/>
      <c r="I751" s="26"/>
      <c r="J751" s="26"/>
      <c r="K751" s="26"/>
      <c r="L751" s="26"/>
      <c r="M751" s="26">
        <f>L788</f>
        <v>0</v>
      </c>
      <c r="N751" s="26" t="e">
        <f>#REF!</f>
        <v>#REF!</v>
      </c>
      <c r="O751" s="26"/>
      <c r="P751" s="26"/>
      <c r="Q751" s="26"/>
      <c r="R751" s="26"/>
      <c r="S751" s="26"/>
      <c r="T751" s="26"/>
      <c r="U751" s="26"/>
      <c r="V751" s="26"/>
      <c r="W751" s="26"/>
      <c r="X751" s="26"/>
      <c r="Y751" s="26"/>
      <c r="Z751" s="26" t="s">
        <v>383</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384</v>
      </c>
      <c r="AU751" s="26" t="s">
        <v>385</v>
      </c>
      <c r="AV751" s="26"/>
      <c r="AW751" s="26"/>
      <c r="AX751" s="26"/>
      <c r="AY751" s="26"/>
      <c r="AZ751" s="26"/>
      <c r="BA751" s="26"/>
      <c r="BB751" s="26"/>
      <c r="BC751" s="26"/>
      <c r="BD751" s="26"/>
      <c r="BE751" s="26"/>
      <c r="BF751" s="26" t="s">
        <v>386</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3">
      <c r="G752" s="26"/>
      <c r="H752" s="26"/>
      <c r="I752" s="26"/>
      <c r="J752" s="26"/>
      <c r="K752" s="26"/>
      <c r="L752" s="26"/>
      <c r="M752" s="26">
        <f>SUM(M747:M750)*BB774</f>
        <v>0</v>
      </c>
      <c r="N752" s="26" t="str">
        <f>K789</f>
        <v>גמול חינוך מיוחד</v>
      </c>
      <c r="O752" s="26"/>
      <c r="P752" s="26"/>
      <c r="Q752" s="26"/>
      <c r="R752" s="26"/>
      <c r="S752" s="26"/>
      <c r="T752" s="26"/>
      <c r="U752" s="26"/>
      <c r="V752" s="26" t="s">
        <v>257</v>
      </c>
      <c r="W752" s="26">
        <f>BB771</f>
        <v>33</v>
      </c>
      <c r="X752" s="26"/>
      <c r="Y752" s="26"/>
      <c r="Z752" s="26" t="s">
        <v>387</v>
      </c>
      <c r="AA752" s="26" t="e">
        <f ca="1">G974*AA751</f>
        <v>#REF!</v>
      </c>
      <c r="AB752" s="26"/>
      <c r="AC752" s="26"/>
      <c r="AD752" s="26"/>
      <c r="AE752" s="26"/>
      <c r="AF752" s="26"/>
      <c r="AG752" s="26"/>
      <c r="AH752" s="26"/>
      <c r="AI752" s="26"/>
      <c r="AJ752" s="26">
        <f>ROUND((AF735-AJ751)/365.25,2)</f>
        <v>0.08</v>
      </c>
      <c r="AK752" s="26"/>
      <c r="AL752" s="26"/>
      <c r="AM752" s="26"/>
      <c r="AN752" s="26" t="s">
        <v>388</v>
      </c>
      <c r="AO752" s="26" t="s">
        <v>389</v>
      </c>
      <c r="AP752" s="26"/>
      <c r="AQ752" s="26"/>
      <c r="AR752" s="26"/>
      <c r="AS752" s="26" t="s">
        <v>390</v>
      </c>
      <c r="AT752" s="26"/>
      <c r="AU752" s="26" t="e">
        <f>E947</f>
        <v>#REF!</v>
      </c>
      <c r="AV752" s="26" t="s">
        <v>391</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3">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392</v>
      </c>
      <c r="AA753" s="26"/>
      <c r="AB753" s="26"/>
      <c r="AC753" s="26"/>
      <c r="AD753" s="26" t="s">
        <v>393</v>
      </c>
      <c r="AE753" s="26" t="s">
        <v>394</v>
      </c>
      <c r="AF753" s="26"/>
      <c r="AG753" s="26"/>
      <c r="AH753" s="26"/>
      <c r="AI753" s="26"/>
      <c r="AJ753" s="26"/>
      <c r="AK753" s="26"/>
      <c r="AL753" s="26"/>
      <c r="AM753" s="26"/>
      <c r="AN753" s="26">
        <v>22</v>
      </c>
      <c r="AO753" s="26">
        <v>43</v>
      </c>
      <c r="AP753" s="26"/>
      <c r="AQ753" s="26"/>
      <c r="AR753" s="26"/>
      <c r="AS753" s="26" t="s">
        <v>59</v>
      </c>
      <c r="AT753" s="26">
        <v>12</v>
      </c>
      <c r="AU753" s="26" t="s">
        <v>395</v>
      </c>
      <c r="AV753" s="26" t="e">
        <f>12*AU752</f>
        <v>#REF!</v>
      </c>
      <c r="AW753" s="26"/>
      <c r="AX753" s="26"/>
      <c r="AY753" s="26"/>
      <c r="AZ753" s="26"/>
      <c r="BA753" s="26" t="s">
        <v>59</v>
      </c>
      <c r="BB753" s="26"/>
      <c r="BC753" s="26"/>
      <c r="BD753" s="26"/>
      <c r="BE753" s="26" t="s">
        <v>396</v>
      </c>
      <c r="BF753" s="26"/>
      <c r="BG753" s="26"/>
      <c r="BH753" s="26"/>
      <c r="BI753" s="26"/>
      <c r="BJ753" s="26"/>
      <c r="BK753" s="26"/>
      <c r="BL753" s="26" t="s">
        <v>397</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3">
      <c r="G754" s="26"/>
      <c r="H754" s="26"/>
      <c r="I754" s="26"/>
      <c r="J754" s="26"/>
      <c r="K754" s="26"/>
      <c r="L754" s="26"/>
      <c r="M754" s="26"/>
      <c r="N754" s="26"/>
      <c r="O754" s="26"/>
      <c r="P754" s="26"/>
      <c r="Q754" s="26"/>
      <c r="R754" s="26"/>
      <c r="S754" s="26"/>
      <c r="T754" s="26"/>
      <c r="U754" s="26"/>
      <c r="V754" s="26" t="s">
        <v>400</v>
      </c>
      <c r="W754" s="26">
        <v>1</v>
      </c>
      <c r="X754" s="26"/>
      <c r="Y754" s="26"/>
      <c r="Z754" s="26" t="e">
        <f>IF(#REF!&gt;0,#REF!/'[1]נתוני מס'!N16,0)</f>
        <v>#REF!</v>
      </c>
      <c r="AA754" s="26" t="s">
        <v>401</v>
      </c>
      <c r="AB754" s="26" t="s">
        <v>402</v>
      </c>
      <c r="AC754" s="26" t="s">
        <v>198</v>
      </c>
      <c r="AD754" s="26"/>
      <c r="AE754" s="26" t="e">
        <f>#REF!</f>
        <v>#REF!</v>
      </c>
      <c r="AF754" s="26"/>
      <c r="AG754" s="26"/>
      <c r="AH754" s="26"/>
      <c r="AI754" s="26"/>
      <c r="AJ754" s="26"/>
      <c r="AK754" s="26"/>
      <c r="AL754" s="26"/>
      <c r="AM754" s="26"/>
      <c r="AN754" s="26" t="s">
        <v>403</v>
      </c>
      <c r="AO754" s="26" t="s">
        <v>404</v>
      </c>
      <c r="AP754" s="26"/>
      <c r="AQ754" s="26"/>
      <c r="AR754" s="26"/>
      <c r="AS754" s="26" t="s">
        <v>405</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406</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3">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407</v>
      </c>
      <c r="AB755" s="26" t="s">
        <v>408</v>
      </c>
      <c r="AC755" s="26" t="s">
        <v>71</v>
      </c>
      <c r="AD755" s="26"/>
      <c r="AE755" s="26"/>
      <c r="AF755" s="26" t="s">
        <v>409</v>
      </c>
      <c r="AG755" s="26">
        <f>IF(AF707=AC754,0.01%,0)</f>
        <v>0</v>
      </c>
      <c r="AH755" s="26"/>
      <c r="AI755" s="26"/>
      <c r="AJ755" s="26" t="s">
        <v>351</v>
      </c>
      <c r="AK755" s="26"/>
      <c r="AL755" s="26"/>
      <c r="AM755" s="26"/>
      <c r="AN755" s="26">
        <v>23</v>
      </c>
      <c r="AO755" s="26">
        <v>44</v>
      </c>
      <c r="AP755" s="26"/>
      <c r="AQ755" s="26"/>
      <c r="AR755" s="26"/>
      <c r="AS755" s="26"/>
      <c r="AT755" s="26"/>
      <c r="AU755" s="26" t="s">
        <v>410</v>
      </c>
      <c r="AV755" s="26" t="e">
        <f ca="1">BA758</f>
        <v>#REF!</v>
      </c>
      <c r="AW755" s="26"/>
      <c r="AX755" s="26" t="s">
        <v>411</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3">
      <c r="G756" s="26"/>
      <c r="H756" s="26"/>
      <c r="I756" s="26"/>
      <c r="J756" s="26"/>
      <c r="K756" s="26"/>
      <c r="L756" s="26"/>
      <c r="M756" s="26">
        <f>Y714*M742</f>
        <v>0</v>
      </c>
      <c r="N756" s="26" t="str">
        <f>K793</f>
        <v xml:space="preserve">גמול יעוץ </v>
      </c>
      <c r="O756" s="26"/>
      <c r="P756" s="26"/>
      <c r="Q756" s="26"/>
      <c r="R756" s="26"/>
      <c r="S756" s="26"/>
      <c r="T756" s="26"/>
      <c r="U756" s="26"/>
      <c r="V756" s="26" t="s">
        <v>412</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413</v>
      </c>
      <c r="AO756" s="26" t="s">
        <v>414</v>
      </c>
      <c r="AP756" s="26"/>
      <c r="AQ756" s="26"/>
      <c r="AR756" s="26"/>
      <c r="AS756" s="26"/>
      <c r="AT756" s="26"/>
      <c r="AU756" s="26"/>
      <c r="AV756" s="26"/>
      <c r="AW756" s="26"/>
      <c r="AX756" s="26" t="s">
        <v>415</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3">
      <c r="G757" s="26"/>
      <c r="H757" s="26"/>
      <c r="I757" s="26"/>
      <c r="J757" s="26"/>
      <c r="K757" s="26"/>
      <c r="L757" s="26"/>
      <c r="M757" s="26">
        <f>SUM(M747:M750)*BB778</f>
        <v>0</v>
      </c>
      <c r="N757" s="26" t="str">
        <f>K794</f>
        <v>גמול ניהול /סגנות/גננות</v>
      </c>
      <c r="O757" s="26"/>
      <c r="P757" s="26"/>
      <c r="Q757" s="26" t="s">
        <v>59</v>
      </c>
      <c r="R757" s="26"/>
      <c r="S757" s="26" t="e">
        <f>(1-#REF!/#REF!)*#REF!</f>
        <v>#REF!</v>
      </c>
      <c r="T757" s="26"/>
      <c r="U757" s="26" t="s">
        <v>417</v>
      </c>
      <c r="V757" s="26"/>
      <c r="W757" s="26"/>
      <c r="X757" s="26"/>
      <c r="Y757" s="26"/>
      <c r="Z757" s="26"/>
      <c r="AA757" s="26" t="s">
        <v>418</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386</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3">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419</v>
      </c>
      <c r="W758" s="26" t="e">
        <f ca="1">E947+(E963+E964+E965)/12</f>
        <v>#REF!</v>
      </c>
      <c r="X758" s="26"/>
      <c r="Y758" s="26"/>
      <c r="Z758" s="26"/>
      <c r="AA758" s="26"/>
      <c r="AB758" s="26" t="s">
        <v>59</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3">
      <c r="G759" s="26"/>
      <c r="H759" s="26"/>
      <c r="I759" s="26"/>
      <c r="J759" s="26"/>
      <c r="K759" s="26"/>
      <c r="L759" s="26"/>
      <c r="M759" s="26"/>
      <c r="N759" s="26"/>
      <c r="O759" s="26"/>
      <c r="P759" s="26"/>
      <c r="Q759" s="26" t="s">
        <v>59</v>
      </c>
      <c r="R759" s="26"/>
      <c r="S759" s="26" t="e">
        <f>S758*2</f>
        <v>#REF!</v>
      </c>
      <c r="T759" s="26"/>
      <c r="U759" s="26"/>
      <c r="V759" s="26" t="s">
        <v>421</v>
      </c>
      <c r="W759" s="26" t="e">
        <f ca="1">E947+(E964+E965)/12</f>
        <v>#REF!</v>
      </c>
      <c r="X759" s="26"/>
      <c r="Y759" s="26"/>
      <c r="Z759" s="26"/>
      <c r="AA759" s="26"/>
      <c r="AB759" s="26" t="s">
        <v>59</v>
      </c>
      <c r="AC759" s="26"/>
      <c r="AD759" s="26"/>
      <c r="AE759" s="26"/>
      <c r="AF759" s="26"/>
      <c r="AG759" s="26"/>
      <c r="AH759" s="26"/>
      <c r="AI759" s="26"/>
      <c r="AJ759" s="26"/>
      <c r="AK759" s="26"/>
      <c r="AL759" s="26"/>
      <c r="AM759" s="26"/>
      <c r="AN759" s="26" t="s">
        <v>422</v>
      </c>
      <c r="AO759" s="26" t="s">
        <v>423</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3">
      <c r="G760" s="26"/>
      <c r="H760" s="26"/>
      <c r="I760" s="26"/>
      <c r="J760" s="26"/>
      <c r="K760" s="26"/>
      <c r="L760" s="26"/>
      <c r="M760" s="26"/>
      <c r="N760" s="26"/>
      <c r="O760" s="26"/>
      <c r="P760" s="26"/>
      <c r="Q760" s="26"/>
      <c r="R760" s="26"/>
      <c r="S760" s="26"/>
      <c r="T760" s="26"/>
      <c r="U760" s="26"/>
      <c r="V760" s="26" t="s">
        <v>424</v>
      </c>
      <c r="W760" s="26" t="e">
        <f>E947</f>
        <v>#REF!</v>
      </c>
      <c r="X760" s="26"/>
      <c r="Y760" s="26"/>
      <c r="Z760" s="26"/>
      <c r="AA760" s="26"/>
      <c r="AB760" s="26" t="s">
        <v>59</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3">
      <c r="G761" s="26"/>
      <c r="H761" s="26"/>
      <c r="I761" s="26"/>
      <c r="J761" s="26"/>
      <c r="K761" s="26"/>
      <c r="L761" s="26"/>
      <c r="M761" s="26"/>
      <c r="N761" s="26"/>
      <c r="O761" s="26"/>
      <c r="P761" s="26"/>
      <c r="Q761" s="26"/>
      <c r="R761" s="26"/>
      <c r="S761" s="26"/>
      <c r="T761" s="26"/>
      <c r="U761" s="26"/>
      <c r="V761" s="26" t="s">
        <v>59</v>
      </c>
      <c r="W761" s="26"/>
      <c r="X761" s="26"/>
      <c r="Y761" s="26"/>
      <c r="Z761" s="26"/>
      <c r="AA761" s="26"/>
      <c r="AB761" s="26" t="s">
        <v>59</v>
      </c>
      <c r="AC761" s="26"/>
      <c r="AD761" s="26"/>
      <c r="AE761" s="26"/>
      <c r="AF761" s="26"/>
      <c r="AG761" s="26"/>
      <c r="AH761" s="26"/>
      <c r="AI761" s="26"/>
      <c r="AJ761" s="26"/>
      <c r="AK761" s="26"/>
      <c r="AL761" s="26"/>
      <c r="AM761" s="26"/>
      <c r="AN761" s="26" t="s">
        <v>425</v>
      </c>
      <c r="AO761" s="26" t="s">
        <v>426</v>
      </c>
      <c r="AP761" s="26"/>
      <c r="AQ761" s="26"/>
      <c r="AR761" s="26"/>
      <c r="AS761" s="26"/>
      <c r="AT761" s="26"/>
      <c r="AU761" s="26"/>
      <c r="AV761" s="26"/>
      <c r="AW761" s="26"/>
      <c r="AX761" s="26"/>
      <c r="AY761" s="26"/>
      <c r="AZ761" s="26" t="s">
        <v>427</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3">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3">
      <c r="G763" s="26"/>
      <c r="H763" s="26"/>
      <c r="I763" s="26"/>
      <c r="J763" s="26"/>
      <c r="K763" s="26"/>
      <c r="L763" s="26"/>
      <c r="M763" s="26"/>
      <c r="N763" s="26"/>
      <c r="O763" s="26"/>
      <c r="P763" s="26"/>
      <c r="Q763" s="26"/>
      <c r="R763" s="26"/>
      <c r="S763" s="26"/>
      <c r="T763" s="26"/>
      <c r="U763" s="26"/>
      <c r="V763" s="26" t="s">
        <v>430</v>
      </c>
      <c r="W763" s="26"/>
      <c r="X763" s="26" t="s">
        <v>424</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3">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3">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3">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3">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3">
      <c r="G768" s="26"/>
      <c r="H768" s="26"/>
      <c r="I768" s="26"/>
      <c r="J768" s="26"/>
      <c r="K768" s="26"/>
      <c r="L768" s="26"/>
      <c r="M768" s="26">
        <f>L806</f>
        <v>0</v>
      </c>
      <c r="N768" s="26" t="s">
        <v>251</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431</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3">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3">
      <c r="G770" s="26"/>
      <c r="H770" s="26"/>
      <c r="I770" s="26"/>
      <c r="J770" s="26"/>
      <c r="K770" s="26"/>
      <c r="L770" s="26"/>
      <c r="M770" s="26">
        <f>SUM(M747:M768)*'[1]נתוני מס'!L22*(1+'[1]נתוני מס'!L23)</f>
        <v>366.65056266641858</v>
      </c>
      <c r="N770" s="26" t="s">
        <v>271</v>
      </c>
      <c r="O770" s="26"/>
      <c r="P770" s="26"/>
      <c r="Q770" s="26"/>
      <c r="R770" s="26" t="s">
        <v>432</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433</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3">
      <c r="G771" s="26"/>
      <c r="H771" s="26"/>
      <c r="I771" s="26"/>
      <c r="J771" s="26"/>
      <c r="K771" s="26"/>
      <c r="L771" s="26"/>
      <c r="M771" s="26">
        <f>SUM(M747:M770)</f>
        <v>8167.7263640795791</v>
      </c>
      <c r="N771" s="26" t="s">
        <v>279</v>
      </c>
      <c r="O771" s="26"/>
      <c r="P771" s="26"/>
      <c r="Q771" s="26"/>
      <c r="R771" s="26" t="s">
        <v>59</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3">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434</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3">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275</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3">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3">
      <c r="G775" s="26"/>
      <c r="H775" s="26" t="s">
        <v>575</v>
      </c>
      <c r="I775" s="26">
        <f ca="1">TODAY()</f>
        <v>45311</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436</v>
      </c>
      <c r="BB775" s="26" t="s">
        <v>84</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3">
      <c r="G776" s="26"/>
      <c r="H776" s="26" t="s">
        <v>576</v>
      </c>
      <c r="I776" s="26" t="s">
        <v>577</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379</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3">
      <c r="G777" s="26"/>
      <c r="H777" s="26"/>
      <c r="I777" s="26"/>
      <c r="J777" s="26"/>
      <c r="K777" s="26"/>
      <c r="L777" s="26" t="s">
        <v>69</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437</v>
      </c>
      <c r="BB777" s="26" t="s">
        <v>115</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3">
      <c r="G778" s="26"/>
      <c r="H778" s="26" t="s">
        <v>578</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438</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3">
      <c r="G779" s="26"/>
      <c r="H779" s="26">
        <f t="shared" ref="H779:H790" si="18">G47*$C$59</f>
        <v>0</v>
      </c>
      <c r="I779" s="26">
        <f>VLOOKUP(INT(1),horaa2,$AJ$711+2,FALSE)*$AB$747</f>
        <v>0</v>
      </c>
      <c r="J779" s="26"/>
      <c r="K779" s="26" t="s">
        <v>79</v>
      </c>
      <c r="L779" s="26">
        <f>VLOOKUP(INT(G946),ofek4,BB770+2,FALSE)*(1+AB746/100)*T719*T705</f>
        <v>14401.146916299316</v>
      </c>
      <c r="M779" s="26"/>
      <c r="N779" s="26"/>
      <c r="O779" s="26"/>
      <c r="P779" s="26"/>
      <c r="Q779" s="26"/>
      <c r="R779" s="26" t="s">
        <v>407</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439</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3">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441</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3">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446</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447</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3">
      <c r="G782" s="26"/>
      <c r="H782" s="26">
        <f t="shared" si="18"/>
        <v>0</v>
      </c>
      <c r="I782" s="26"/>
      <c r="J782" s="26"/>
      <c r="K782" s="26" t="s">
        <v>94</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251</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3">
      <c r="G783" s="26"/>
      <c r="H783" s="26">
        <f t="shared" si="18"/>
        <v>0</v>
      </c>
      <c r="I783" s="26"/>
      <c r="J783" s="26"/>
      <c r="K783" s="26" t="s">
        <v>102</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376</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3">
      <c r="G784" s="26"/>
      <c r="H784" s="26">
        <f t="shared" si="18"/>
        <v>0</v>
      </c>
      <c r="I784" s="26"/>
      <c r="J784" s="26"/>
      <c r="K784" s="26" t="s">
        <v>87</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3">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3">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449</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3">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451</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3">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3">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3">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3">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3">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3">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3">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3">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3">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59</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3">
      <c r="G797" s="26"/>
      <c r="H797" s="26" t="s">
        <v>277</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3">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3">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454</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3">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59</v>
      </c>
      <c r="AG800" s="26"/>
      <c r="AH800" s="26"/>
      <c r="AI800" s="26"/>
      <c r="AJ800" s="26"/>
      <c r="AK800" s="26"/>
      <c r="AL800" s="26"/>
      <c r="AM800" s="26"/>
      <c r="AN800" s="26"/>
      <c r="AO800" s="26"/>
      <c r="AP800" s="26"/>
      <c r="AQ800" s="26"/>
      <c r="AR800" s="26"/>
      <c r="AS800" s="26"/>
      <c r="AT800" s="26" t="s">
        <v>455</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456</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3">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457</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59</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3">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458</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3">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459</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3">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460</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3">
      <c r="G805" s="26"/>
      <c r="H805" s="26"/>
      <c r="I805" s="26"/>
      <c r="J805" s="26"/>
      <c r="K805" s="26"/>
      <c r="L805" s="26">
        <f>L779*BB782</f>
        <v>0</v>
      </c>
      <c r="M805" s="26"/>
      <c r="N805" s="26"/>
      <c r="O805" s="26"/>
      <c r="P805" s="26" t="s">
        <v>59</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461</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3">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462</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3">
      <c r="G807" s="26"/>
      <c r="H807" s="26"/>
      <c r="I807" s="26"/>
      <c r="J807" s="26"/>
      <c r="K807" s="26" t="s">
        <v>579</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463</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3">
      <c r="G808" s="26"/>
      <c r="H808" s="26"/>
      <c r="I808" s="26"/>
      <c r="J808" s="26"/>
      <c r="K808" s="26"/>
      <c r="L808" s="26"/>
      <c r="M808" s="26"/>
      <c r="N808" s="26"/>
      <c r="O808" s="26"/>
      <c r="P808" s="26" t="s">
        <v>59</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464</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3">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285</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3">
      <c r="G810" s="26"/>
      <c r="H810" s="26"/>
      <c r="I810" s="26"/>
      <c r="J810" s="26"/>
      <c r="K810" s="26"/>
      <c r="L810" s="26"/>
      <c r="M810" s="26"/>
      <c r="N810" s="26"/>
      <c r="O810" s="26"/>
      <c r="P810" s="26"/>
      <c r="Q810" s="26"/>
      <c r="R810" s="26"/>
      <c r="S810" s="26"/>
      <c r="T810" s="26"/>
      <c r="U810" s="26"/>
      <c r="V810" s="26"/>
      <c r="W810" s="26"/>
      <c r="X810" s="26" t="s">
        <v>87</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59</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3">
      <c r="G811" s="26"/>
      <c r="H811" s="26"/>
      <c r="I811" s="26"/>
      <c r="J811" s="26"/>
      <c r="K811" s="26"/>
      <c r="L811" s="26"/>
      <c r="M811" s="26"/>
      <c r="N811" s="26"/>
      <c r="O811" s="26"/>
      <c r="P811" s="26"/>
      <c r="Q811" s="26"/>
      <c r="R811" s="26"/>
      <c r="S811" s="26"/>
      <c r="T811" s="26"/>
      <c r="U811" s="26"/>
      <c r="V811" s="26"/>
      <c r="W811" s="26" t="s">
        <v>59</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465</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3">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204</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3">
      <c r="G813" s="26"/>
      <c r="H813" s="26"/>
      <c r="I813" s="26"/>
      <c r="J813" s="26"/>
      <c r="K813" s="26"/>
      <c r="L813" s="26"/>
      <c r="M813" s="26"/>
      <c r="N813" s="26"/>
      <c r="O813" s="26"/>
      <c r="P813" s="26"/>
      <c r="Q813" s="26"/>
      <c r="R813" s="26"/>
      <c r="S813" s="26"/>
      <c r="T813" s="26"/>
      <c r="U813" s="26"/>
      <c r="V813" s="26" t="s">
        <v>59</v>
      </c>
      <c r="W813" s="26" t="s">
        <v>59</v>
      </c>
      <c r="X813" s="26" t="s">
        <v>112</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3">
      <c r="G814" s="26"/>
      <c r="H814" s="26"/>
      <c r="I814" s="26"/>
      <c r="J814" s="26"/>
      <c r="K814" s="26"/>
      <c r="L814" s="26"/>
      <c r="M814" s="26"/>
      <c r="N814" s="26"/>
      <c r="O814" s="26"/>
      <c r="P814" s="26"/>
      <c r="Q814" s="26"/>
      <c r="R814" s="26"/>
      <c r="S814" s="26"/>
      <c r="T814" s="26"/>
      <c r="U814" s="26"/>
      <c r="V814" s="26"/>
      <c r="W814" s="26"/>
      <c r="X814" s="26" t="s">
        <v>119</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466</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3">
      <c r="G815" s="26"/>
      <c r="H815" s="26"/>
      <c r="I815" s="26"/>
      <c r="J815" s="26"/>
      <c r="K815" s="26"/>
      <c r="L815" s="26"/>
      <c r="M815" s="26"/>
      <c r="N815" s="26"/>
      <c r="O815" s="26"/>
      <c r="P815" s="26"/>
      <c r="Q815" s="26"/>
      <c r="R815" s="26"/>
      <c r="S815" s="26"/>
      <c r="T815" s="26"/>
      <c r="U815" s="26"/>
      <c r="V815" s="26"/>
      <c r="W815" s="26"/>
      <c r="X815" s="26" t="s">
        <v>452</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3">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3">
      <c r="G817" s="26"/>
      <c r="H817" s="26"/>
      <c r="I817" s="26"/>
      <c r="J817" s="26"/>
      <c r="K817" s="26"/>
      <c r="L817" s="26"/>
      <c r="M817" s="26"/>
      <c r="N817" s="26"/>
      <c r="O817" s="26"/>
      <c r="P817" s="26"/>
      <c r="Q817" s="26">
        <v>2001</v>
      </c>
      <c r="R817" s="26"/>
      <c r="S817" s="26"/>
      <c r="T817" s="26"/>
      <c r="U817" s="26"/>
      <c r="V817" s="26"/>
      <c r="W817" s="26"/>
      <c r="X817" s="26" t="s">
        <v>128</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3">
      <c r="G818" s="26"/>
      <c r="H818" s="26"/>
      <c r="I818" s="26"/>
      <c r="J818" s="26"/>
      <c r="K818" s="26"/>
      <c r="L818" s="26"/>
      <c r="M818" s="26"/>
      <c r="N818" s="26"/>
      <c r="O818" s="26"/>
      <c r="P818" s="26"/>
      <c r="Q818" s="26"/>
      <c r="R818" s="26"/>
      <c r="S818" s="26"/>
      <c r="T818" s="26"/>
      <c r="U818" s="26"/>
      <c r="V818" s="26"/>
      <c r="W818" s="26"/>
      <c r="X818" s="26" t="s">
        <v>150</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3">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3">
      <c r="G820" s="26"/>
      <c r="H820" s="26"/>
      <c r="I820" s="26"/>
      <c r="J820" s="26"/>
      <c r="K820" s="26"/>
      <c r="L820" s="26"/>
      <c r="M820" s="26"/>
      <c r="N820" s="26"/>
      <c r="O820" s="26"/>
      <c r="P820" s="26"/>
      <c r="Q820" s="26" t="s">
        <v>450</v>
      </c>
      <c r="R820" s="26"/>
      <c r="S820" s="26"/>
      <c r="T820" s="26"/>
      <c r="U820" s="26"/>
      <c r="V820" s="26"/>
      <c r="W820" s="26"/>
      <c r="X820" s="26" t="s">
        <v>65</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3">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3">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3">
      <c r="G823" s="26"/>
      <c r="H823" s="26"/>
      <c r="I823" s="26"/>
      <c r="J823" s="26"/>
      <c r="K823" s="26"/>
      <c r="L823" s="26"/>
      <c r="M823" s="26" t="s">
        <v>59</v>
      </c>
      <c r="N823" s="26" t="s">
        <v>59</v>
      </c>
      <c r="O823" s="26"/>
      <c r="P823" s="26"/>
      <c r="Q823" s="26"/>
      <c r="R823" s="26"/>
      <c r="S823" s="26"/>
      <c r="T823" s="26"/>
      <c r="U823" s="26"/>
      <c r="V823" s="26"/>
      <c r="W823" s="26"/>
      <c r="X823" s="26" t="s">
        <v>101</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3">
      <c r="G824" s="26"/>
      <c r="H824" s="26"/>
      <c r="I824" s="26"/>
      <c r="J824" s="26"/>
      <c r="K824" s="26" t="s">
        <v>59</v>
      </c>
      <c r="L824" s="26"/>
      <c r="M824" s="26" t="s">
        <v>59</v>
      </c>
      <c r="N824" s="26" t="s">
        <v>59</v>
      </c>
      <c r="O824" s="26"/>
      <c r="P824" s="26"/>
      <c r="Q824" s="26"/>
      <c r="R824" s="26"/>
      <c r="S824" s="26"/>
      <c r="T824" s="26"/>
      <c r="U824" s="26"/>
      <c r="V824" s="26"/>
      <c r="W824" s="26"/>
      <c r="X824" s="26" t="s">
        <v>210</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3">
      <c r="G825" s="26"/>
      <c r="H825" s="26"/>
      <c r="I825" s="26"/>
      <c r="J825" s="26"/>
      <c r="K825" s="26"/>
      <c r="L825" s="26"/>
      <c r="M825" s="26" t="s">
        <v>59</v>
      </c>
      <c r="N825" s="26" t="s">
        <v>59</v>
      </c>
      <c r="O825" s="26"/>
      <c r="P825" s="26"/>
      <c r="Q825" s="26"/>
      <c r="R825" s="26"/>
      <c r="S825" s="26"/>
      <c r="T825" s="26"/>
      <c r="U825" s="26"/>
      <c r="V825" s="26"/>
      <c r="W825" s="26"/>
      <c r="X825" s="26" t="s">
        <v>228</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3">
      <c r="G826" s="26"/>
      <c r="H826" s="26"/>
      <c r="I826" s="26"/>
      <c r="J826" s="26"/>
      <c r="K826" s="26"/>
      <c r="L826" s="26"/>
      <c r="M826" s="26" t="s">
        <v>59</v>
      </c>
      <c r="N826" s="26" t="s">
        <v>59</v>
      </c>
      <c r="O826" s="26"/>
      <c r="P826" s="26"/>
      <c r="Q826" s="26"/>
      <c r="R826" s="26"/>
      <c r="S826" s="26"/>
      <c r="T826" s="26"/>
      <c r="U826" s="26"/>
      <c r="V826" s="26"/>
      <c r="W826" s="26"/>
      <c r="X826" s="26" t="s">
        <v>238</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3">
      <c r="G827" s="26"/>
      <c r="H827" s="26"/>
      <c r="I827" s="26"/>
      <c r="J827" s="26"/>
      <c r="K827" s="26"/>
      <c r="L827" s="26"/>
      <c r="M827" s="26" t="s">
        <v>59</v>
      </c>
      <c r="N827" s="26" t="s">
        <v>59</v>
      </c>
      <c r="O827" s="26"/>
      <c r="P827" s="26"/>
      <c r="Q827" s="26"/>
      <c r="R827" s="26"/>
      <c r="S827" s="26"/>
      <c r="T827" s="26"/>
      <c r="U827" s="26"/>
      <c r="V827" s="26"/>
      <c r="W827" s="26"/>
      <c r="X827" s="26" t="s">
        <v>250</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3">
      <c r="G828" s="26"/>
      <c r="H828" s="26"/>
      <c r="I828" s="26"/>
      <c r="J828" s="26"/>
      <c r="K828" s="26"/>
      <c r="L828" s="26"/>
      <c r="M828" s="26" t="s">
        <v>59</v>
      </c>
      <c r="N828" s="26" t="s">
        <v>59</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3">
      <c r="G829" s="26"/>
      <c r="H829" s="26"/>
      <c r="I829" s="26"/>
      <c r="J829" s="26"/>
      <c r="K829" s="26"/>
      <c r="L829" s="26"/>
      <c r="M829" s="26" t="s">
        <v>59</v>
      </c>
      <c r="N829" s="26" t="s">
        <v>59</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3">
      <c r="G830" s="26"/>
      <c r="H830" s="26"/>
      <c r="I830" s="26"/>
      <c r="J830" s="26"/>
      <c r="K830" s="26" t="s">
        <v>59</v>
      </c>
      <c r="L830" s="26"/>
      <c r="M830" s="26" t="s">
        <v>59</v>
      </c>
      <c r="N830" s="26" t="s">
        <v>59</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3">
      <c r="G831" s="26"/>
      <c r="H831" s="26"/>
      <c r="I831" s="26"/>
      <c r="J831" s="26"/>
      <c r="K831" s="26"/>
      <c r="L831" s="26"/>
      <c r="M831" s="26" t="s">
        <v>59</v>
      </c>
      <c r="N831" s="26" t="s">
        <v>59</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3">
      <c r="G832" s="26"/>
      <c r="H832" s="26"/>
      <c r="I832" s="26"/>
      <c r="J832" s="26"/>
      <c r="K832" s="26"/>
      <c r="L832" s="26"/>
      <c r="M832" s="26" t="s">
        <v>59</v>
      </c>
      <c r="N832" s="26" t="s">
        <v>59</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3">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3">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3">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3">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3">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3">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3">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3">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3">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3">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3">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3">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3">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3">
      <c r="G846" s="26"/>
      <c r="H846" s="26"/>
      <c r="I846" s="26" t="s">
        <v>59</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3">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3">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3">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3">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3">
      <c r="G851" s="26"/>
      <c r="H851" s="26"/>
      <c r="I851" s="26"/>
      <c r="J851" s="26"/>
      <c r="K851" s="26"/>
      <c r="L851" s="26"/>
      <c r="M851" s="26" t="s">
        <v>469</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3">
      <c r="G852" s="26"/>
      <c r="H852" s="26"/>
      <c r="I852" s="26"/>
      <c r="J852" s="26"/>
      <c r="K852" s="26"/>
      <c r="L852" s="26" t="s">
        <v>59</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3">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3">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3">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3">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3">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3">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3">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3">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3">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3">
      <c r="G862" s="26"/>
      <c r="H862" s="26"/>
      <c r="I862" s="26"/>
      <c r="J862" s="26"/>
      <c r="K862" s="26"/>
      <c r="L862" s="26"/>
      <c r="M862" s="26" t="s">
        <v>59</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3">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3">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3">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3">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3">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3">
      <c r="G868" s="26"/>
      <c r="H868" s="26" t="s">
        <v>496</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3">
      <c r="G869" s="26"/>
      <c r="H869" s="26" t="s">
        <v>59</v>
      </c>
      <c r="I869" s="26"/>
      <c r="J869" s="26"/>
      <c r="K869" s="26" t="s">
        <v>59</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3">
      <c r="G870" s="26"/>
      <c r="H870" s="26" t="s">
        <v>59</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3">
      <c r="G871" s="26"/>
      <c r="H871" s="26" t="s">
        <v>59</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3">
      <c r="G872" s="26"/>
      <c r="H872" s="26" t="s">
        <v>59</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3">
      <c r="G873" s="26"/>
      <c r="H873" s="26" t="s">
        <v>499</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3">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3">
      <c r="G875" s="26"/>
      <c r="H875" s="26"/>
      <c r="I875" s="26"/>
      <c r="J875" s="26"/>
      <c r="K875" s="26" t="s">
        <v>580</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3">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3">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3">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3">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3">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3">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3">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3">
      <c r="G883" s="26"/>
      <c r="H883" s="26"/>
      <c r="I883" s="26"/>
      <c r="J883" s="26"/>
      <c r="K883" s="26"/>
      <c r="L883" s="26" t="s">
        <v>59</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3">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3">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3">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3">
      <c r="G887" s="26"/>
      <c r="H887" s="26"/>
      <c r="I887" s="26"/>
      <c r="J887" s="26"/>
      <c r="K887" s="26">
        <f ca="1">(F927-O710)*2.4%</f>
        <v>-0.31128000000000017</v>
      </c>
      <c r="L887" s="26" t="s">
        <v>467</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3">
      <c r="G888" s="26"/>
      <c r="H888" s="26">
        <f ca="1">DATE(YEAR(I775),MONTH(I775)-MONTH(I775)+1,DAY(I775)-DAY(I775)+1)</f>
        <v>45292</v>
      </c>
      <c r="I888" s="26"/>
      <c r="J888" s="26"/>
      <c r="K888" s="26">
        <f>IF(W719=0,0,IF(F927-O710+BB780&gt;13,13,F927-O710+BB780))</f>
        <v>0</v>
      </c>
      <c r="L888" s="26" t="s">
        <v>468</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3">
      <c r="G889" s="26"/>
      <c r="H889" s="26"/>
      <c r="I889" s="26"/>
      <c r="J889" s="26"/>
      <c r="K889" s="26"/>
      <c r="L889" s="26" t="s">
        <v>470</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3">
      <c r="G890" s="26"/>
      <c r="H890" s="26"/>
      <c r="I890" s="26">
        <f>IF(G944-Z716&lt;3,0,IF(G944-Z716&lt;6,1,IF(G944-Z716&lt;9,2,IF(G944-Z716&lt;12,H882+3,IF(G944-Z716&lt;13,H882+4,IF(G944-Z716&lt;16,H882+5,IF(G944-Z716&lt;19,H882+6,IF(G944-Z716&lt;22,H882+7))))))))</f>
        <v>0</v>
      </c>
      <c r="J890" s="26"/>
      <c r="K890" s="26"/>
      <c r="L890" s="26" t="s">
        <v>471</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3">
      <c r="G891" s="26"/>
      <c r="H891" s="26"/>
      <c r="I891" s="26"/>
      <c r="J891" s="26"/>
      <c r="K891" s="26"/>
      <c r="L891" s="26" t="s">
        <v>472</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3">
      <c r="G892" s="26"/>
      <c r="H892" s="26" t="e">
        <f>E929</f>
        <v>#REF!</v>
      </c>
      <c r="I892" s="26"/>
      <c r="J892" s="26"/>
      <c r="K892" s="26"/>
      <c r="L892" s="26" t="s">
        <v>473</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3">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3">
      <c r="G894" s="26"/>
      <c r="H894" s="26" t="s">
        <v>59</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3">
      <c r="G895" s="26"/>
      <c r="H895" s="26" t="s">
        <v>59</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3">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4.5" thickBot="1" x14ac:dyDescent="0.35">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5" thickTop="1" thickBot="1" x14ac:dyDescent="0.35">
      <c r="B898" s="68" t="s">
        <v>535</v>
      </c>
      <c r="C898" s="69" t="e">
        <f>#REF!</f>
        <v>#REF!</v>
      </c>
      <c r="G898" s="26"/>
      <c r="H898" s="26"/>
      <c r="I898" s="26" t="s">
        <v>59</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4.5" thickTop="1" x14ac:dyDescent="0.3">
      <c r="E899" s="70" t="s">
        <v>514</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 thickBot="1" x14ac:dyDescent="0.4">
      <c r="C900" s="71" t="s">
        <v>531</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 thickBot="1" x14ac:dyDescent="0.4">
      <c r="D901" s="72" t="s">
        <v>533</v>
      </c>
      <c r="E901" s="73" t="s">
        <v>198</v>
      </c>
      <c r="G901" s="26" t="s">
        <v>493</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5.5" thickTop="1" x14ac:dyDescent="0.5">
      <c r="E902" s="75" t="s">
        <v>519</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3">
      <c r="B903" s="76"/>
      <c r="E903" s="77" t="s">
        <v>521</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4.5" thickBot="1" x14ac:dyDescent="0.35">
      <c r="E904" s="78" t="s">
        <v>523</v>
      </c>
      <c r="F904" s="79" t="e">
        <f>#REF!</f>
        <v>#REF!</v>
      </c>
      <c r="G904" s="26" t="s">
        <v>495</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5" thickTop="1" thickBot="1" x14ac:dyDescent="0.35">
      <c r="B905" s="80" t="s">
        <v>541</v>
      </c>
      <c r="C905" s="81" t="s">
        <v>542</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4.5" thickTop="1" x14ac:dyDescent="0.3">
      <c r="B906" s="83" t="e">
        <f>#REF!</f>
        <v>#REF!</v>
      </c>
      <c r="C906" s="84" t="s">
        <v>543</v>
      </c>
      <c r="D906" s="85" t="s">
        <v>59</v>
      </c>
      <c r="E906" s="86" t="e">
        <f>#REF!/#REF!*E911</f>
        <v>#REF!</v>
      </c>
      <c r="F906" s="87" t="s">
        <v>526</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x14ac:dyDescent="0.3">
      <c r="B907" s="88" t="e">
        <f>#REF!</f>
        <v>#REF!</v>
      </c>
      <c r="C907" s="89" t="s">
        <v>544</v>
      </c>
      <c r="D907" s="90" t="s">
        <v>59</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4.5" thickBot="1" x14ac:dyDescent="0.35">
      <c r="B908" s="88" t="e">
        <f>#REF!</f>
        <v>#REF!</v>
      </c>
      <c r="C908" s="93" t="s">
        <v>546</v>
      </c>
      <c r="D908" s="94" t="str">
        <f>E107&amp;"   :   מספר חודשים"</f>
        <v xml:space="preserve">   :   מספר חודשים</v>
      </c>
      <c r="E908" s="91" t="e">
        <f>#REF!/#REF!*E911</f>
        <v>#REF!</v>
      </c>
      <c r="F908" s="95" t="s">
        <v>530</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 thickTop="1" thickBot="1" x14ac:dyDescent="0.35">
      <c r="B909" s="88" t="e">
        <f>#REF!</f>
        <v>#REF!</v>
      </c>
      <c r="C909" s="93" t="s">
        <v>547</v>
      </c>
      <c r="D909" s="94" t="e">
        <f>IF(#REF!=0,#REF!,INT(#REF!)&amp;" : ימי מחלה  לפדיון")</f>
        <v>#REF!</v>
      </c>
      <c r="E909" s="91" t="e">
        <f>#REF!/#REF!*E911</f>
        <v>#REF!</v>
      </c>
      <c r="F909" s="96" t="s">
        <v>532</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 thickTop="1" thickBot="1" x14ac:dyDescent="0.35">
      <c r="B910" s="97" t="e">
        <f>#REF!</f>
        <v>#REF!</v>
      </c>
      <c r="C910" s="98" t="s">
        <v>548</v>
      </c>
      <c r="D910" s="99" t="e">
        <f>IF(#REF!=0,#REF!,TRUNC(#REF!,2)&amp; "  :מספר משכורות")</f>
        <v>#REF!</v>
      </c>
      <c r="E910" s="100" t="e">
        <f>#REF!/#REF!*E911</f>
        <v>#REF!</v>
      </c>
      <c r="F910" s="101" t="s">
        <v>534</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6.5" thickTop="1" thickBot="1" x14ac:dyDescent="0.4">
      <c r="B911" s="102" t="e">
        <f>SUM(B906:B910)</f>
        <v>#REF!</v>
      </c>
      <c r="C911" s="103" t="s">
        <v>549</v>
      </c>
      <c r="D911" s="104" t="s">
        <v>550</v>
      </c>
      <c r="E911" s="105" t="e">
        <f>#REF!</f>
        <v>#REF!</v>
      </c>
      <c r="F911" s="67" t="s">
        <v>536</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6.5" thickTop="1" thickBot="1" x14ac:dyDescent="0.4">
      <c r="B912" s="106"/>
      <c r="C912" s="106" t="s">
        <v>551</v>
      </c>
      <c r="D912" s="107"/>
      <c r="E912" s="108" t="e">
        <f>E911-#REF!</f>
        <v>#REF!</v>
      </c>
      <c r="F912" s="109" t="s">
        <v>537</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9" thickTop="1" thickBot="1" x14ac:dyDescent="0.45">
      <c r="B913" s="110"/>
      <c r="C913" s="110" t="e">
        <f>"   החזרי מס במהלך   " &amp;#REF!&amp;" שנות פריסת המס  "</f>
        <v>#REF!</v>
      </c>
      <c r="D913" s="111"/>
      <c r="E913" s="112" t="e">
        <f>#REF!</f>
        <v>#REF!</v>
      </c>
      <c r="F913" s="113" t="s">
        <v>538</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5" thickTop="1" thickBot="1" x14ac:dyDescent="0.35">
      <c r="B914" s="114" t="e">
        <f>#REF!</f>
        <v>#REF!</v>
      </c>
      <c r="C914" s="115" t="s">
        <v>552</v>
      </c>
      <c r="D914" s="116" t="e">
        <f>#REF!&amp;" : ימי חופש  לפדיון"</f>
        <v>#REF!</v>
      </c>
      <c r="E914" s="114" t="e">
        <f>#REF!-BF740</f>
        <v>#REF!</v>
      </c>
      <c r="F914" s="117" t="s">
        <v>539</v>
      </c>
      <c r="G914" s="26" t="s">
        <v>502</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x14ac:dyDescent="0.3">
      <c r="C915" s="118" t="s">
        <v>553</v>
      </c>
      <c r="D915" s="119"/>
      <c r="E915" s="120"/>
      <c r="F915" s="120" t="e">
        <f>IF(#REF!=0,0,#REF!-#REF!)</f>
        <v>#REF!</v>
      </c>
      <c r="G915" s="26" t="s">
        <v>503</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4.5" thickBot="1" x14ac:dyDescent="0.35">
      <c r="C916" s="121" t="s">
        <v>555</v>
      </c>
      <c r="D916" s="122"/>
      <c r="E916" s="123"/>
      <c r="F916" s="123"/>
      <c r="G916" s="26" t="s">
        <v>504</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4.5" thickTop="1" x14ac:dyDescent="0.3">
      <c r="B917" s="124" t="s">
        <v>556</v>
      </c>
      <c r="C917" s="125"/>
      <c r="D917" s="126"/>
      <c r="E917" s="127" t="e">
        <f>#REF!</f>
        <v>#REF!</v>
      </c>
      <c r="F917" s="127" t="s">
        <v>540</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4.5" thickBot="1" x14ac:dyDescent="0.35">
      <c r="B918" s="128" t="s">
        <v>557</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4.5" thickTop="1" x14ac:dyDescent="0.3">
      <c r="B919" s="76"/>
      <c r="C919" s="130" t="s">
        <v>559</v>
      </c>
      <c r="D919" s="107"/>
      <c r="E919" s="131"/>
      <c r="G919" s="26">
        <f ca="1">N738</f>
        <v>13.33</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5" x14ac:dyDescent="0.35">
      <c r="B920" s="132" t="s">
        <v>59</v>
      </c>
      <c r="C920" s="130" t="s">
        <v>560</v>
      </c>
      <c r="D920" s="107"/>
      <c r="E920" s="131"/>
      <c r="F920" s="133" t="s">
        <v>545</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3">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3">
      <c r="E922" s="10" t="s">
        <v>59</v>
      </c>
      <c r="G922" s="26" t="s">
        <v>59</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3">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3">
      <c r="G924" s="26"/>
      <c r="H924" s="26" t="s">
        <v>581</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3">
      <c r="G925" s="26" t="s">
        <v>513</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 thickBot="1" x14ac:dyDescent="0.4">
      <c r="B926" s="133" t="s">
        <v>545</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9" thickTop="1" thickBot="1" x14ac:dyDescent="0.45">
      <c r="E927" s="62" t="s">
        <v>554</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 thickTop="1" thickBot="1" x14ac:dyDescent="0.35">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5" thickTop="1" thickBot="1" x14ac:dyDescent="0.35">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4.5" thickTop="1" x14ac:dyDescent="0.3">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3">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3">
      <c r="E932" s="138">
        <v>0</v>
      </c>
      <c r="G932" s="26"/>
      <c r="H932" s="26" t="s">
        <v>59</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3">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3">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3">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3">
      <c r="C936" s="43" t="str">
        <f>K792</f>
        <v>גמול הכנה לבגרות</v>
      </c>
      <c r="D936" s="140">
        <f>W750</f>
        <v>0</v>
      </c>
      <c r="E936" s="138">
        <f>BB776</f>
        <v>0</v>
      </c>
      <c r="F936" s="10" t="s">
        <v>59</v>
      </c>
      <c r="G936" s="26"/>
      <c r="H936" s="26" t="s">
        <v>582</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3">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3">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3">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3">
      <c r="C940" s="43" t="str">
        <f>K803</f>
        <v>ותק הדרכה לגמול פיקוח/הדרכה</v>
      </c>
      <c r="D940" s="140" t="e">
        <f>IF(G103=AC755,0,K876*43%)</f>
        <v>#REF!</v>
      </c>
      <c r="E940" s="138" t="e">
        <f>I903*E929</f>
        <v>#REF!</v>
      </c>
      <c r="F940" s="10" t="s">
        <v>59</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3">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3">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3">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4.5" thickBot="1" x14ac:dyDescent="0.35">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 thickTop="1" thickBot="1" x14ac:dyDescent="0.35">
      <c r="E945" s="138">
        <v>0</v>
      </c>
      <c r="F945" s="141" t="s">
        <v>561</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5" thickTop="1" thickBot="1" x14ac:dyDescent="0.35">
      <c r="B946" t="s">
        <v>59</v>
      </c>
      <c r="C946" s="142" t="s">
        <v>563</v>
      </c>
      <c r="D946" s="143" t="e">
        <f>D951</f>
        <v>#REF!</v>
      </c>
      <c r="E946" s="144" t="e">
        <f>SUM(E929:E945)</f>
        <v>#REF!</v>
      </c>
      <c r="F946" s="145" t="s">
        <v>562</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9" thickTop="1" thickBot="1" x14ac:dyDescent="0.45">
      <c r="B947" s="10" t="s">
        <v>59</v>
      </c>
      <c r="C947" s="146" t="s">
        <v>583</v>
      </c>
      <c r="D947" s="147"/>
      <c r="E947" s="148" t="e">
        <f>(E946*G944+D946*G945)/G946</f>
        <v>#REF!</v>
      </c>
      <c r="F947" s="149" t="s">
        <v>584</v>
      </c>
      <c r="G947" s="26" t="s">
        <v>545</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6.5" thickTop="1" thickBot="1" x14ac:dyDescent="0.4">
      <c r="B948" s="133" t="s">
        <v>545</v>
      </c>
      <c r="G948" s="26" t="s">
        <v>59</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4.5" thickTop="1" x14ac:dyDescent="0.3">
      <c r="B949" s="10"/>
      <c r="C949" s="10" t="s">
        <v>585</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4.5" thickBot="1" x14ac:dyDescent="0.35">
      <c r="B950" s="10" t="s">
        <v>586</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5" thickTop="1" thickBot="1" x14ac:dyDescent="0.35">
      <c r="B951" s="10" t="s">
        <v>587</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4.5" thickTop="1" x14ac:dyDescent="0.3">
      <c r="B952" s="63" t="s">
        <v>59</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3">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3">
      <c r="B954" s="63" t="s">
        <v>59</v>
      </c>
      <c r="C954" s="65" t="s">
        <v>59</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3">
      <c r="B955" s="63" t="s">
        <v>59</v>
      </c>
      <c r="C955" s="65" t="s">
        <v>59</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3">
      <c r="B956" s="63"/>
      <c r="G956" s="26" t="s">
        <v>69</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3">
      <c r="B957" s="63"/>
      <c r="F957" s="77" t="s">
        <v>68</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3">
      <c r="B958" s="63"/>
      <c r="F958" s="77" t="s">
        <v>588</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4.5" thickBot="1" x14ac:dyDescent="0.35">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5" thickTop="1" thickBot="1" x14ac:dyDescent="0.35">
      <c r="B960" s="63"/>
      <c r="D960" s="154" t="s">
        <v>589</v>
      </c>
      <c r="E960" s="155"/>
      <c r="F960" s="156" t="s">
        <v>590</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 thickTop="1" thickBot="1" x14ac:dyDescent="0.35">
      <c r="B961" s="63"/>
      <c r="D961" s="157" t="s">
        <v>591</v>
      </c>
      <c r="E961" s="158"/>
      <c r="F961" s="159" t="s">
        <v>592</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4.5" thickTop="1" x14ac:dyDescent="0.3">
      <c r="B962" s="63"/>
      <c r="D962" s="160" t="s">
        <v>593</v>
      </c>
      <c r="E962" s="161" t="e">
        <f>E947</f>
        <v>#REF!</v>
      </c>
      <c r="F962" s="162" t="s">
        <v>594</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3">
      <c r="B963" s="63"/>
      <c r="D963" s="163" t="s">
        <v>595</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3">
      <c r="B964" s="63"/>
      <c r="D964" s="163" t="s">
        <v>94</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4.5" thickBot="1" x14ac:dyDescent="0.35">
      <c r="B965" s="63"/>
      <c r="D965" s="166" t="s">
        <v>102</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 thickTop="1" thickBot="1" x14ac:dyDescent="0.35">
      <c r="B966" s="63"/>
      <c r="D966" s="169"/>
      <c r="F966" s="165" t="s">
        <v>596</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5" thickTop="1" thickBot="1" x14ac:dyDescent="0.35">
      <c r="B967" s="63"/>
      <c r="D967" s="170"/>
      <c r="E967" s="171" t="s">
        <v>59</v>
      </c>
      <c r="F967" s="172" t="s">
        <v>597</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4.5" thickTop="1" x14ac:dyDescent="0.3">
      <c r="B968" s="63"/>
      <c r="D968" s="170"/>
      <c r="E968" s="173" t="s">
        <v>598</v>
      </c>
      <c r="F968" s="174" t="s">
        <v>325</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3">
      <c r="B969" s="63"/>
      <c r="D969" s="170"/>
      <c r="E969" s="175" t="e">
        <f>G967+G968</f>
        <v>#REF!</v>
      </c>
      <c r="F969" s="174" t="s">
        <v>599</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3">
      <c r="B970" s="63"/>
      <c r="D970" s="170"/>
      <c r="E970" s="176"/>
      <c r="F970" s="177" t="s">
        <v>600</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3">
      <c r="B971" s="63"/>
      <c r="D971" s="170"/>
      <c r="E971" s="176"/>
      <c r="F971" s="177" t="s">
        <v>601</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3">
      <c r="B972" s="63"/>
      <c r="D972" s="170"/>
      <c r="E972" s="178" t="s">
        <v>602</v>
      </c>
      <c r="F972" s="177" t="s">
        <v>603</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59</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3">
      <c r="B973" s="63"/>
      <c r="D973" s="170"/>
      <c r="E973" s="178" t="s">
        <v>224</v>
      </c>
      <c r="F973" s="174" t="s">
        <v>604</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5" thickBot="1" x14ac:dyDescent="0.45">
      <c r="B974" s="63"/>
      <c r="D974" s="179" t="s">
        <v>605</v>
      </c>
      <c r="E974" s="180" t="e">
        <f ca="1">BI737</f>
        <v>#REF!</v>
      </c>
      <c r="F974" s="181" t="s">
        <v>382</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5" thickTop="1" thickBot="1" x14ac:dyDescent="0.35">
      <c r="B975" s="63"/>
      <c r="D975" s="182" t="s">
        <v>606</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4.5" thickTop="1" x14ac:dyDescent="0.3">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5" x14ac:dyDescent="0.35">
      <c r="B977" s="63"/>
      <c r="D977"/>
      <c r="E977" s="133" t="s">
        <v>545</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3">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3">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3">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3">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3">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3">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3">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sheetProtection sheet="1" objects="1" scenarios="1"/>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B2">
    <cfRule type="expression" dxfId="182" priority="70" stopIfTrue="1">
      <formula>$AB$17=AE44</formula>
    </cfRule>
  </conditionalFormatting>
  <conditionalFormatting sqref="B905 E905">
    <cfRule type="expression" dxfId="181" priority="74" stopIfTrue="1">
      <formula>$AF$707=Z754</formula>
    </cfRule>
  </conditionalFormatting>
  <conditionalFormatting sqref="B35:C35">
    <cfRule type="expression" dxfId="180" priority="12" stopIfTrue="1">
      <formula>$C$19=$F$18</formula>
    </cfRule>
  </conditionalFormatting>
  <conditionalFormatting sqref="B906:E906 B910:E910">
    <cfRule type="expression" dxfId="179" priority="125" stopIfTrue="1">
      <formula>$W$742=$S$735</formula>
    </cfRule>
  </conditionalFormatting>
  <conditionalFormatting sqref="B912:E913">
    <cfRule type="expression" dxfId="178" priority="124" stopIfTrue="1">
      <formula>$E$913=0</formula>
    </cfRule>
  </conditionalFormatting>
  <conditionalFormatting sqref="B27:F33">
    <cfRule type="expression" dxfId="177" priority="35" stopIfTrue="1">
      <formula>$C$19=$F$18</formula>
    </cfRule>
  </conditionalFormatting>
  <conditionalFormatting sqref="B917:F918">
    <cfRule type="expression" dxfId="176" priority="87" stopIfTrue="1">
      <formula>#REF!=0</formula>
    </cfRule>
    <cfRule type="expression" dxfId="175" priority="86" stopIfTrue="1">
      <formula>#REF!=0</formula>
    </cfRule>
  </conditionalFormatting>
  <conditionalFormatting sqref="C905">
    <cfRule type="expression" dxfId="174" priority="76" stopIfTrue="1">
      <formula>$AF$707=AC754</formula>
    </cfRule>
  </conditionalFormatting>
  <conditionalFormatting sqref="C24:E24 C28:E28">
    <cfRule type="expression" dxfId="173" priority="7" stopIfTrue="1">
      <formula>$C$10="ז-ח"</formula>
    </cfRule>
    <cfRule type="expression" dxfId="172" priority="6" stopIfTrue="1">
      <formula>$C$10="חטיבת ביניים"</formula>
    </cfRule>
    <cfRule type="expression" dxfId="171" priority="8" stopIfTrue="1">
      <formula>$C$10="א-ו"</formula>
    </cfRule>
  </conditionalFormatting>
  <conditionalFormatting sqref="C919:E920">
    <cfRule type="expression" dxfId="170" priority="88" stopIfTrue="1">
      <formula>$E$913=0</formula>
    </cfRule>
  </conditionalFormatting>
  <conditionalFormatting sqref="C24:F24 C23:E23 B25:F26">
    <cfRule type="expression" dxfId="169" priority="36" stopIfTrue="1">
      <formula>$C$19=$F$19</formula>
    </cfRule>
  </conditionalFormatting>
  <conditionalFormatting sqref="C915:F916">
    <cfRule type="expression" dxfId="168" priority="122" stopIfTrue="1">
      <formula>$F$915=0</formula>
    </cfRule>
  </conditionalFormatting>
  <conditionalFormatting sqref="D905">
    <cfRule type="expression" dxfId="167" priority="75" stopIfTrue="1">
      <formula>$AF$707=AC754</formula>
    </cfRule>
  </conditionalFormatting>
  <conditionalFormatting sqref="E930:E945">
    <cfRule type="cellIs" dxfId="166" priority="129" stopIfTrue="1" operator="equal">
      <formula>0</formula>
    </cfRule>
  </conditionalFormatting>
  <conditionalFormatting sqref="E968:E969">
    <cfRule type="expression" dxfId="165" priority="127" stopIfTrue="1">
      <formula>$E$969&lt;0</formula>
    </cfRule>
  </conditionalFormatting>
  <conditionalFormatting sqref="E972:E974 D974">
    <cfRule type="expression" dxfId="164" priority="126" stopIfTrue="1">
      <formula>$E$974&lt;=0</formula>
    </cfRule>
  </conditionalFormatting>
  <conditionalFormatting sqref="E903:F903 F958:F959">
    <cfRule type="expression" dxfId="163" priority="85" stopIfTrue="1">
      <formula>$F$905&gt;67</formula>
    </cfRule>
  </conditionalFormatting>
  <conditionalFormatting sqref="E904:F904">
    <cfRule type="expression" dxfId="162" priority="95" stopIfTrue="1">
      <formula>$F$904&lt;64</formula>
    </cfRule>
  </conditionalFormatting>
  <conditionalFormatting sqref="F24">
    <cfRule type="expression" dxfId="161" priority="40" stopIfTrue="1">
      <formula>$C$39=0</formula>
    </cfRule>
  </conditionalFormatting>
  <conditionalFormatting sqref="F28">
    <cfRule type="expression" dxfId="160" priority="39" stopIfTrue="1">
      <formula>$C$39=0</formula>
    </cfRule>
  </conditionalFormatting>
  <conditionalFormatting sqref="F33">
    <cfRule type="expression" dxfId="159" priority="37" stopIfTrue="1">
      <formula>$C$39=0</formula>
    </cfRule>
  </conditionalFormatting>
  <conditionalFormatting sqref="F905">
    <cfRule type="expression" dxfId="158" priority="72" stopIfTrue="1">
      <formula>$AF$707=AC754</formula>
    </cfRule>
  </conditionalFormatting>
  <conditionalFormatting sqref="F907">
    <cfRule type="expression" dxfId="157" priority="101" stopIfTrue="1">
      <formula>$BB$786=0</formula>
    </cfRule>
  </conditionalFormatting>
  <conditionalFormatting sqref="G901 E902:F902">
    <cfRule type="expression" dxfId="156" priority="92" stopIfTrue="1">
      <formula>$W$742=$S$735</formula>
    </cfRule>
  </conditionalFormatting>
  <conditionalFormatting sqref="G904">
    <cfRule type="expression" dxfId="155" priority="73" stopIfTrue="1">
      <formula>$AF$707=AC754</formula>
    </cfRule>
  </conditionalFormatting>
  <conditionalFormatting sqref="G906">
    <cfRule type="expression" dxfId="154" priority="100" stopIfTrue="1">
      <formula>$G$906=0</formula>
    </cfRule>
  </conditionalFormatting>
  <conditionalFormatting sqref="G909 F910">
    <cfRule type="expression" dxfId="153" priority="91" stopIfTrue="1">
      <formula>$W$742=$S$735</formula>
    </cfRule>
  </conditionalFormatting>
  <conditionalFormatting sqref="G911 F912">
    <cfRule type="expression" dxfId="152" priority="93" stopIfTrue="1">
      <formula>$W$742=$S$735</formula>
    </cfRule>
  </conditionalFormatting>
  <conditionalFormatting sqref="G25:H25">
    <cfRule type="expression" dxfId="151" priority="5" stopIfTrue="1">
      <formula>$C$39=0</formula>
    </cfRule>
  </conditionalFormatting>
  <conditionalFormatting sqref="H21:H22 H23:I23 H24 H26:H30 I26:I32 I34">
    <cfRule type="expression" dxfId="150" priority="64" stopIfTrue="1">
      <formula>$C$39=0</formula>
    </cfRule>
  </conditionalFormatting>
  <conditionalFormatting sqref="H778">
    <cfRule type="expression" dxfId="149" priority="67" stopIfTrue="1">
      <formula>$C$59=1</formula>
    </cfRule>
    <cfRule type="expression" dxfId="148" priority="68" stopIfTrue="1">
      <formula>$C$59=0</formula>
    </cfRule>
  </conditionalFormatting>
  <conditionalFormatting sqref="H779:H791 Z810:Z827 I29:I31 N754 H797 X810:Y820 X821:X823 X824:Y825 X826:X827">
    <cfRule type="expression" dxfId="147" priority="83" stopIfTrue="1">
      <formula>$C$59=0</formula>
    </cfRule>
  </conditionalFormatting>
  <conditionalFormatting sqref="H779:H796 Z810:Z827">
    <cfRule type="expression" dxfId="146" priority="69" stopIfTrue="1">
      <formula>$C$54=1</formula>
    </cfRule>
  </conditionalFormatting>
  <conditionalFormatting sqref="H792:H796">
    <cfRule type="expression" dxfId="145" priority="66" stopIfTrue="1">
      <formula>$C$58=0</formula>
    </cfRule>
  </conditionalFormatting>
  <conditionalFormatting sqref="H867">
    <cfRule type="expression" dxfId="144" priority="71" stopIfTrue="1">
      <formula>$AF$707=AC754</formula>
    </cfRule>
  </conditionalFormatting>
  <conditionalFormatting sqref="H868:H870 G905 F906">
    <cfRule type="expression" dxfId="143" priority="102" stopIfTrue="1">
      <formula>$V$745&gt;0</formula>
    </cfRule>
  </conditionalFormatting>
  <conditionalFormatting sqref="H871">
    <cfRule type="expression" dxfId="142" priority="51" stopIfTrue="1">
      <formula>ROUND($H$871,2)=ROUND($G$908,2)</formula>
    </cfRule>
  </conditionalFormatting>
  <conditionalFormatting sqref="H873 G910 F911">
    <cfRule type="expression" dxfId="141" priority="65" stopIfTrue="1">
      <formula>$E$110&lt;&gt;0</formula>
    </cfRule>
  </conditionalFormatting>
  <conditionalFormatting sqref="H876 G913 F914">
    <cfRule type="expression" dxfId="140" priority="94" stopIfTrue="1">
      <formula>$W$742=$S$735</formula>
    </cfRule>
  </conditionalFormatting>
  <conditionalFormatting sqref="H879 G916 H924:H925">
    <cfRule type="expression" dxfId="139" priority="120" stopIfTrue="1">
      <formula>$Z$717&lt;100%</formula>
    </cfRule>
  </conditionalFormatting>
  <conditionalFormatting sqref="J21:J28 J30">
    <cfRule type="expression" dxfId="138" priority="2" stopIfTrue="1">
      <formula>$C$9=1</formula>
    </cfRule>
  </conditionalFormatting>
  <conditionalFormatting sqref="J21:J32">
    <cfRule type="expression" dxfId="137" priority="3" stopIfTrue="1">
      <formula>$C$39=0</formula>
    </cfRule>
  </conditionalFormatting>
  <conditionalFormatting sqref="J29">
    <cfRule type="expression" dxfId="136" priority="1" stopIfTrue="1">
      <formula>$C$59=0</formula>
    </cfRule>
  </conditionalFormatting>
  <conditionalFormatting sqref="J877 J879 J881 H887:I887 H888 I889 I891 G925 F926">
    <cfRule type="expression" dxfId="135" priority="118" stopIfTrue="1">
      <formula>$R$718=1</formula>
    </cfRule>
  </conditionalFormatting>
  <conditionalFormatting sqref="K118:K125 J126:K135">
    <cfRule type="expression" dxfId="134" priority="48" stopIfTrue="1">
      <formula>$C$39=0</formula>
    </cfRule>
    <cfRule type="expression" dxfId="133" priority="46" stopIfTrue="1">
      <formula>$CC$12&lt;&gt;$C$5</formula>
    </cfRule>
    <cfRule type="expression" dxfId="132" priority="47" stopIfTrue="1">
      <formula>$Q$2=$M81</formula>
    </cfRule>
  </conditionalFormatting>
  <conditionalFormatting sqref="K781">
    <cfRule type="expression" dxfId="131" priority="116" stopIfTrue="1">
      <formula>$L$781=0</formula>
    </cfRule>
  </conditionalFormatting>
  <conditionalFormatting sqref="K785">
    <cfRule type="expression" dxfId="130" priority="105" stopIfTrue="1">
      <formula>$S$705=0</formula>
    </cfRule>
  </conditionalFormatting>
  <conditionalFormatting sqref="K786">
    <cfRule type="expression" dxfId="129" priority="106" stopIfTrue="1">
      <formula>#REF!=0</formula>
    </cfRule>
  </conditionalFormatting>
  <conditionalFormatting sqref="K787">
    <cfRule type="expression" dxfId="128" priority="104" stopIfTrue="1">
      <formula>$S$706=0</formula>
    </cfRule>
  </conditionalFormatting>
  <conditionalFormatting sqref="K788">
    <cfRule type="expression" dxfId="127" priority="107" stopIfTrue="1">
      <formula>#REF!=0</formula>
    </cfRule>
  </conditionalFormatting>
  <conditionalFormatting sqref="K789">
    <cfRule type="expression" dxfId="126" priority="89" stopIfTrue="1">
      <formula>$BB$774=0</formula>
    </cfRule>
  </conditionalFormatting>
  <conditionalFormatting sqref="K790">
    <cfRule type="expression" dxfId="125" priority="108" stopIfTrue="1">
      <formula>$BB$775=$S$709</formula>
    </cfRule>
  </conditionalFormatting>
  <conditionalFormatting sqref="K792">
    <cfRule type="expression" dxfId="124" priority="90" stopIfTrue="1">
      <formula>$BB$776=0</formula>
    </cfRule>
  </conditionalFormatting>
  <conditionalFormatting sqref="K793">
    <cfRule type="expression" dxfId="123" priority="109" stopIfTrue="1">
      <formula>$Y$714=0</formula>
    </cfRule>
  </conditionalFormatting>
  <conditionalFormatting sqref="K794">
    <cfRule type="expression" dxfId="122" priority="111" stopIfTrue="1">
      <formula>$BB$778=0</formula>
    </cfRule>
  </conditionalFormatting>
  <conditionalFormatting sqref="K795:K802">
    <cfRule type="expression" dxfId="121" priority="103" stopIfTrue="1">
      <formula>$AW$722=0</formula>
    </cfRule>
  </conditionalFormatting>
  <conditionalFormatting sqref="K803">
    <cfRule type="expression" dxfId="120" priority="113" stopIfTrue="1">
      <formula>$W$719=0</formula>
    </cfRule>
  </conditionalFormatting>
  <conditionalFormatting sqref="K804">
    <cfRule type="expression" dxfId="119" priority="112" stopIfTrue="1">
      <formula>$W$739=0</formula>
    </cfRule>
  </conditionalFormatting>
  <conditionalFormatting sqref="K806">
    <cfRule type="expression" dxfId="118" priority="119" stopIfTrue="1">
      <formula>$BB$783=0</formula>
    </cfRule>
  </conditionalFormatting>
  <conditionalFormatting sqref="L205:L223 I206:J206 I207:I223">
    <cfRule type="expression" dxfId="117" priority="49" stopIfTrue="1">
      <formula>$Q$2=$M168</formula>
    </cfRule>
    <cfRule type="expression" dxfId="116" priority="50" stopIfTrue="1">
      <formula>$C$39=0</formula>
    </cfRule>
  </conditionalFormatting>
  <conditionalFormatting sqref="L777 G956 F957">
    <cfRule type="expression" dxfId="115" priority="128" stopIfTrue="1">
      <formula>$E$110&gt;0</formula>
    </cfRule>
  </conditionalFormatting>
  <conditionalFormatting sqref="M80:N98 M168:M186">
    <cfRule type="expression" dxfId="114" priority="45" stopIfTrue="1">
      <formula>$C$39=0</formula>
    </cfRule>
    <cfRule type="expression" dxfId="113" priority="44" stopIfTrue="1">
      <formula>$Q$2=$M80</formula>
    </cfRule>
  </conditionalFormatting>
  <conditionalFormatting sqref="R779 E901">
    <cfRule type="expression" dxfId="112" priority="132" stopIfTrue="1">
      <formula>$G$906&lt;&gt;0</formula>
    </cfRule>
  </conditionalFormatting>
  <conditionalFormatting sqref="S27:S34">
    <cfRule type="expression" dxfId="111" priority="13" stopIfTrue="1">
      <formula>$C$39=0</formula>
    </cfRule>
    <cfRule type="expression" dxfId="110" priority="11" stopIfTrue="1">
      <formula>$C$9=1</formula>
    </cfRule>
  </conditionalFormatting>
  <conditionalFormatting sqref="S720">
    <cfRule type="expression" dxfId="109" priority="110" stopIfTrue="1">
      <formula>#REF!=0</formula>
    </cfRule>
  </conditionalFormatting>
  <conditionalFormatting sqref="S747">
    <cfRule type="expression" dxfId="108" priority="115" stopIfTrue="1">
      <formula>$T$747=0</formula>
    </cfRule>
  </conditionalFormatting>
  <conditionalFormatting sqref="S757">
    <cfRule type="cellIs" dxfId="107" priority="96" stopIfTrue="1" operator="greaterThan">
      <formula>0</formula>
    </cfRule>
  </conditionalFormatting>
  <conditionalFormatting sqref="S60:AC60 Q61:AC106">
    <cfRule type="expression" dxfId="106" priority="42" stopIfTrue="1">
      <formula>$Q$2=$M94</formula>
    </cfRule>
    <cfRule type="expression" dxfId="105" priority="43" stopIfTrue="1">
      <formula>$C$39=0</formula>
    </cfRule>
  </conditionalFormatting>
  <conditionalFormatting sqref="T720 T747 L785:L790 L792:L806">
    <cfRule type="cellIs" dxfId="104" priority="114" stopIfTrue="1" operator="equal">
      <formula>0</formula>
    </cfRule>
  </conditionalFormatting>
  <conditionalFormatting sqref="T745:W745 C900:D900">
    <cfRule type="expression" dxfId="103" priority="123" stopIfTrue="1">
      <formula>$W$742=$S$735</formula>
    </cfRule>
  </conditionalFormatting>
  <conditionalFormatting sqref="T746:W746 S834:S860 H878 G915">
    <cfRule type="expression" dxfId="102" priority="121" stopIfTrue="1">
      <formula>$V$745&lt;=0</formula>
    </cfRule>
  </conditionalFormatting>
  <conditionalFormatting sqref="V732">
    <cfRule type="expression" dxfId="101" priority="82" stopIfTrue="1">
      <formula>$AF$707=AC754</formula>
    </cfRule>
  </conditionalFormatting>
  <conditionalFormatting sqref="V756:Y756">
    <cfRule type="expression" dxfId="100" priority="99" stopIfTrue="1">
      <formula>#REF!=0</formula>
    </cfRule>
  </conditionalFormatting>
  <conditionalFormatting sqref="Y722">
    <cfRule type="expression" dxfId="99" priority="98" stopIfTrue="1">
      <formula>AND(#REF!&lt;#REF!,#REF!&lt;#REF!)</formula>
    </cfRule>
  </conditionalFormatting>
  <conditionalFormatting sqref="Y723">
    <cfRule type="expression" dxfId="98" priority="97" stopIfTrue="1">
      <formula>AND(#REF!&lt;#REF!,#REF!&lt;#REF!)</formula>
    </cfRule>
  </conditionalFormatting>
  <conditionalFormatting sqref="Y724:Y725 Y728:Y731">
    <cfRule type="expression" dxfId="97" priority="133"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96" priority="117" stopIfTrue="1">
      <formula>$R$718=1</formula>
    </cfRule>
  </conditionalFormatting>
  <conditionalFormatting sqref="AO705:AP714">
    <cfRule type="expression" dxfId="95" priority="31" stopIfTrue="1">
      <formula>$L$776=$AO705</formula>
    </cfRule>
    <cfRule type="expression" dxfId="94" priority="32" stopIfTrue="1">
      <formula>$I$29=0</formula>
    </cfRule>
  </conditionalFormatting>
  <conditionalFormatting sqref="BA784">
    <cfRule type="expression" dxfId="93" priority="131" stopIfTrue="1">
      <formula>$BB$784&lt;0</formula>
    </cfRule>
  </conditionalFormatting>
  <conditionalFormatting sqref="BA785">
    <cfRule type="expression" dxfId="92" priority="130" stopIfTrue="1">
      <formula>$BB$785&lt;0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topLeftCell="A2" zoomScale="85" zoomScaleNormal="85" workbookViewId="0">
      <selection activeCell="C10" sqref="C10"/>
    </sheetView>
  </sheetViews>
  <sheetFormatPr defaultRowHeight="14" x14ac:dyDescent="0.3"/>
  <cols>
    <col min="1" max="1" width="0.33203125" customWidth="1"/>
    <col min="2" max="2" width="17.25" customWidth="1"/>
    <col min="3" max="3" width="13.33203125" customWidth="1"/>
    <col min="4" max="4" width="9.58203125" style="10" customWidth="1"/>
    <col min="5" max="5" width="13.33203125" style="10" customWidth="1"/>
    <col min="6" max="6" width="8.58203125" style="10" customWidth="1"/>
    <col min="7" max="7" width="15.58203125" style="10" customWidth="1"/>
    <col min="8" max="8" width="16.08203125" style="10" customWidth="1"/>
    <col min="9" max="9" width="12.5" style="10" customWidth="1"/>
    <col min="10" max="10" width="12.08203125" style="10" customWidth="1"/>
    <col min="11" max="11" width="18.08203125" customWidth="1"/>
    <col min="12" max="12" width="16.25" customWidth="1"/>
    <col min="13" max="14" width="12.83203125" customWidth="1"/>
    <col min="15" max="15" width="11.33203125" customWidth="1"/>
    <col min="16" max="16" width="11.75" customWidth="1"/>
    <col min="17" max="17" width="10.83203125" customWidth="1"/>
    <col min="18" max="18" width="16" customWidth="1"/>
    <col min="19" max="19" width="14.08203125" customWidth="1"/>
    <col min="20" max="20" width="11.75" customWidth="1"/>
    <col min="21" max="21" width="13.33203125" customWidth="1"/>
    <col min="22" max="22" width="21.58203125" customWidth="1"/>
    <col min="23" max="23" width="16.08203125" customWidth="1"/>
    <col min="24" max="25" width="14" customWidth="1"/>
    <col min="26" max="26" width="9.58203125" customWidth="1"/>
    <col min="27" max="27" width="10.75" customWidth="1"/>
    <col min="28" max="28" width="9.58203125" customWidth="1"/>
    <col min="29" max="29" width="9.25" customWidth="1"/>
    <col min="30" max="30" width="9.33203125" customWidth="1"/>
    <col min="31" max="32" width="13.25" customWidth="1"/>
    <col min="33" max="33" width="8.25" bestFit="1" customWidth="1"/>
    <col min="34" max="34" width="10" style="64" customWidth="1"/>
    <col min="36" max="36" width="9.75" customWidth="1"/>
    <col min="37" max="37" width="9.33203125" customWidth="1"/>
    <col min="38" max="38" width="10.5" bestFit="1" customWidth="1"/>
    <col min="45" max="45" width="9.58203125" customWidth="1"/>
    <col min="46" max="46" width="14.75" customWidth="1"/>
    <col min="47" max="47" width="11.33203125" customWidth="1"/>
    <col min="48" max="48" width="9.83203125" customWidth="1"/>
    <col min="49" max="49" width="10.75" customWidth="1"/>
    <col min="50" max="50" width="10.08203125" bestFit="1" customWidth="1"/>
    <col min="51" max="51" width="12.5" customWidth="1"/>
    <col min="52" max="52" width="10.58203125" customWidth="1"/>
    <col min="55" max="55" width="15.75" customWidth="1"/>
    <col min="56" max="56" width="10" customWidth="1"/>
    <col min="59" max="59" width="8.83203125" customWidth="1"/>
    <col min="60" max="60" width="9.58203125" bestFit="1" customWidth="1"/>
    <col min="61" max="61" width="9.33203125" customWidth="1"/>
    <col min="63" max="63" width="7.25" customWidth="1"/>
    <col min="64" max="64" width="0" hidden="1" customWidth="1"/>
    <col min="66" max="66" width="9.33203125" customWidth="1"/>
    <col min="67" max="67" width="10.33203125" customWidth="1"/>
    <col min="68" max="68" width="15.83203125" customWidth="1"/>
    <col min="70" max="70" width="6.75" customWidth="1"/>
    <col min="257" max="257" width="0.33203125" customWidth="1"/>
    <col min="258" max="258" width="17.25" customWidth="1"/>
    <col min="259" max="259" width="13.33203125" customWidth="1"/>
    <col min="260" max="260" width="9.58203125" customWidth="1"/>
    <col min="261" max="261" width="13.33203125" customWidth="1"/>
    <col min="262" max="262" width="8.58203125" customWidth="1"/>
    <col min="263" max="263" width="15.58203125" customWidth="1"/>
    <col min="264" max="264" width="16.08203125" customWidth="1"/>
    <col min="265" max="265" width="12.5" customWidth="1"/>
    <col min="266" max="266" width="12.08203125" customWidth="1"/>
    <col min="267" max="267" width="18.08203125" customWidth="1"/>
    <col min="268" max="268" width="16.25" customWidth="1"/>
    <col min="269" max="270" width="12.83203125" customWidth="1"/>
    <col min="271" max="271" width="11.33203125" customWidth="1"/>
    <col min="272" max="272" width="11.75" customWidth="1"/>
    <col min="273" max="273" width="10.83203125" customWidth="1"/>
    <col min="274" max="274" width="16" customWidth="1"/>
    <col min="275" max="275" width="14.08203125" customWidth="1"/>
    <col min="276" max="276" width="11.75" customWidth="1"/>
    <col min="277" max="277" width="13.33203125" customWidth="1"/>
    <col min="278" max="278" width="21.58203125" customWidth="1"/>
    <col min="279" max="279" width="16.08203125" customWidth="1"/>
    <col min="280" max="281" width="14" customWidth="1"/>
    <col min="282" max="282" width="9.58203125" customWidth="1"/>
    <col min="283" max="283" width="10.75" customWidth="1"/>
    <col min="284" max="284" width="9.58203125" customWidth="1"/>
    <col min="285" max="285" width="9.25" customWidth="1"/>
    <col min="286" max="286" width="9.33203125" customWidth="1"/>
    <col min="287" max="288" width="13.25" customWidth="1"/>
    <col min="289" max="289" width="8.25" bestFit="1" customWidth="1"/>
    <col min="290" max="290" width="10" customWidth="1"/>
    <col min="292" max="292" width="9.75" customWidth="1"/>
    <col min="293" max="293" width="9.33203125" customWidth="1"/>
    <col min="294" max="294" width="10.5" bestFit="1" customWidth="1"/>
    <col min="301" max="301" width="9.58203125" customWidth="1"/>
    <col min="302" max="302" width="14.75" customWidth="1"/>
    <col min="303" max="303" width="11.33203125" customWidth="1"/>
    <col min="304" max="304" width="9.83203125" customWidth="1"/>
    <col min="305" max="305" width="10.75" customWidth="1"/>
    <col min="306" max="306" width="10.08203125" bestFit="1" customWidth="1"/>
    <col min="307" max="307" width="12.5" customWidth="1"/>
    <col min="308" max="308" width="10.58203125" customWidth="1"/>
    <col min="311" max="311" width="15.75" customWidth="1"/>
    <col min="312" max="312" width="10" customWidth="1"/>
    <col min="315" max="315" width="8.83203125" customWidth="1"/>
    <col min="316" max="316" width="9.58203125" bestFit="1" customWidth="1"/>
    <col min="317" max="317" width="9.33203125" customWidth="1"/>
    <col min="319" max="319" width="7.25" customWidth="1"/>
    <col min="320" max="320" width="0" hidden="1" customWidth="1"/>
    <col min="322" max="322" width="9.33203125" customWidth="1"/>
    <col min="323" max="323" width="10.33203125" customWidth="1"/>
    <col min="324" max="324" width="15.83203125" customWidth="1"/>
    <col min="326" max="326" width="6.75" customWidth="1"/>
    <col min="513" max="513" width="0.33203125" customWidth="1"/>
    <col min="514" max="514" width="17.25" customWidth="1"/>
    <col min="515" max="515" width="13.33203125" customWidth="1"/>
    <col min="516" max="516" width="9.58203125" customWidth="1"/>
    <col min="517" max="517" width="13.33203125" customWidth="1"/>
    <col min="518" max="518" width="8.58203125" customWidth="1"/>
    <col min="519" max="519" width="15.58203125" customWidth="1"/>
    <col min="520" max="520" width="16.08203125" customWidth="1"/>
    <col min="521" max="521" width="12.5" customWidth="1"/>
    <col min="522" max="522" width="12.08203125" customWidth="1"/>
    <col min="523" max="523" width="18.08203125" customWidth="1"/>
    <col min="524" max="524" width="16.25" customWidth="1"/>
    <col min="525" max="526" width="12.83203125" customWidth="1"/>
    <col min="527" max="527" width="11.33203125" customWidth="1"/>
    <col min="528" max="528" width="11.75" customWidth="1"/>
    <col min="529" max="529" width="10.83203125" customWidth="1"/>
    <col min="530" max="530" width="16" customWidth="1"/>
    <col min="531" max="531" width="14.08203125" customWidth="1"/>
    <col min="532" max="532" width="11.75" customWidth="1"/>
    <col min="533" max="533" width="13.33203125" customWidth="1"/>
    <col min="534" max="534" width="21.58203125" customWidth="1"/>
    <col min="535" max="535" width="16.08203125" customWidth="1"/>
    <col min="536" max="537" width="14" customWidth="1"/>
    <col min="538" max="538" width="9.58203125" customWidth="1"/>
    <col min="539" max="539" width="10.75" customWidth="1"/>
    <col min="540" max="540" width="9.58203125" customWidth="1"/>
    <col min="541" max="541" width="9.25" customWidth="1"/>
    <col min="542" max="542" width="9.33203125" customWidth="1"/>
    <col min="543" max="544" width="13.25" customWidth="1"/>
    <col min="545" max="545" width="8.25" bestFit="1" customWidth="1"/>
    <col min="546" max="546" width="10" customWidth="1"/>
    <col min="548" max="548" width="9.75" customWidth="1"/>
    <col min="549" max="549" width="9.33203125" customWidth="1"/>
    <col min="550" max="550" width="10.5" bestFit="1" customWidth="1"/>
    <col min="557" max="557" width="9.58203125" customWidth="1"/>
    <col min="558" max="558" width="14.75" customWidth="1"/>
    <col min="559" max="559" width="11.33203125" customWidth="1"/>
    <col min="560" max="560" width="9.83203125" customWidth="1"/>
    <col min="561" max="561" width="10.75" customWidth="1"/>
    <col min="562" max="562" width="10.08203125" bestFit="1" customWidth="1"/>
    <col min="563" max="563" width="12.5" customWidth="1"/>
    <col min="564" max="564" width="10.58203125" customWidth="1"/>
    <col min="567" max="567" width="15.75" customWidth="1"/>
    <col min="568" max="568" width="10" customWidth="1"/>
    <col min="571" max="571" width="8.83203125" customWidth="1"/>
    <col min="572" max="572" width="9.58203125" bestFit="1" customWidth="1"/>
    <col min="573" max="573" width="9.33203125" customWidth="1"/>
    <col min="575" max="575" width="7.25" customWidth="1"/>
    <col min="576" max="576" width="0" hidden="1" customWidth="1"/>
    <col min="578" max="578" width="9.33203125" customWidth="1"/>
    <col min="579" max="579" width="10.33203125" customWidth="1"/>
    <col min="580" max="580" width="15.83203125" customWidth="1"/>
    <col min="582" max="582" width="6.75" customWidth="1"/>
    <col min="769" max="769" width="0.33203125" customWidth="1"/>
    <col min="770" max="770" width="17.25" customWidth="1"/>
    <col min="771" max="771" width="13.33203125" customWidth="1"/>
    <col min="772" max="772" width="9.58203125" customWidth="1"/>
    <col min="773" max="773" width="13.33203125" customWidth="1"/>
    <col min="774" max="774" width="8.58203125" customWidth="1"/>
    <col min="775" max="775" width="15.58203125" customWidth="1"/>
    <col min="776" max="776" width="16.08203125" customWidth="1"/>
    <col min="777" max="777" width="12.5" customWidth="1"/>
    <col min="778" max="778" width="12.08203125" customWidth="1"/>
    <col min="779" max="779" width="18.08203125" customWidth="1"/>
    <col min="780" max="780" width="16.25" customWidth="1"/>
    <col min="781" max="782" width="12.83203125" customWidth="1"/>
    <col min="783" max="783" width="11.33203125" customWidth="1"/>
    <col min="784" max="784" width="11.75" customWidth="1"/>
    <col min="785" max="785" width="10.83203125" customWidth="1"/>
    <col min="786" max="786" width="16" customWidth="1"/>
    <col min="787" max="787" width="14.08203125" customWidth="1"/>
    <col min="788" max="788" width="11.75" customWidth="1"/>
    <col min="789" max="789" width="13.33203125" customWidth="1"/>
    <col min="790" max="790" width="21.58203125" customWidth="1"/>
    <col min="791" max="791" width="16.08203125" customWidth="1"/>
    <col min="792" max="793" width="14" customWidth="1"/>
    <col min="794" max="794" width="9.58203125" customWidth="1"/>
    <col min="795" max="795" width="10.75" customWidth="1"/>
    <col min="796" max="796" width="9.58203125" customWidth="1"/>
    <col min="797" max="797" width="9.25" customWidth="1"/>
    <col min="798" max="798" width="9.33203125" customWidth="1"/>
    <col min="799" max="800" width="13.25" customWidth="1"/>
    <col min="801" max="801" width="8.25" bestFit="1" customWidth="1"/>
    <col min="802" max="802" width="10" customWidth="1"/>
    <col min="804" max="804" width="9.75" customWidth="1"/>
    <col min="805" max="805" width="9.33203125" customWidth="1"/>
    <col min="806" max="806" width="10.5" bestFit="1" customWidth="1"/>
    <col min="813" max="813" width="9.58203125" customWidth="1"/>
    <col min="814" max="814" width="14.75" customWidth="1"/>
    <col min="815" max="815" width="11.33203125" customWidth="1"/>
    <col min="816" max="816" width="9.83203125" customWidth="1"/>
    <col min="817" max="817" width="10.75" customWidth="1"/>
    <col min="818" max="818" width="10.08203125" bestFit="1" customWidth="1"/>
    <col min="819" max="819" width="12.5" customWidth="1"/>
    <col min="820" max="820" width="10.58203125" customWidth="1"/>
    <col min="823" max="823" width="15.75" customWidth="1"/>
    <col min="824" max="824" width="10" customWidth="1"/>
    <col min="827" max="827" width="8.83203125" customWidth="1"/>
    <col min="828" max="828" width="9.58203125" bestFit="1" customWidth="1"/>
    <col min="829" max="829" width="9.33203125" customWidth="1"/>
    <col min="831" max="831" width="7.25" customWidth="1"/>
    <col min="832" max="832" width="0" hidden="1" customWidth="1"/>
    <col min="834" max="834" width="9.33203125" customWidth="1"/>
    <col min="835" max="835" width="10.33203125" customWidth="1"/>
    <col min="836" max="836" width="15.83203125" customWidth="1"/>
    <col min="838" max="838" width="6.75" customWidth="1"/>
    <col min="1025" max="1025" width="0.33203125" customWidth="1"/>
    <col min="1026" max="1026" width="17.25" customWidth="1"/>
    <col min="1027" max="1027" width="13.33203125" customWidth="1"/>
    <col min="1028" max="1028" width="9.58203125" customWidth="1"/>
    <col min="1029" max="1029" width="13.33203125" customWidth="1"/>
    <col min="1030" max="1030" width="8.58203125" customWidth="1"/>
    <col min="1031" max="1031" width="15.58203125" customWidth="1"/>
    <col min="1032" max="1032" width="16.08203125" customWidth="1"/>
    <col min="1033" max="1033" width="12.5" customWidth="1"/>
    <col min="1034" max="1034" width="12.08203125" customWidth="1"/>
    <col min="1035" max="1035" width="18.08203125" customWidth="1"/>
    <col min="1036" max="1036" width="16.25" customWidth="1"/>
    <col min="1037" max="1038" width="12.83203125" customWidth="1"/>
    <col min="1039" max="1039" width="11.33203125" customWidth="1"/>
    <col min="1040" max="1040" width="11.75" customWidth="1"/>
    <col min="1041" max="1041" width="10.83203125" customWidth="1"/>
    <col min="1042" max="1042" width="16" customWidth="1"/>
    <col min="1043" max="1043" width="14.08203125" customWidth="1"/>
    <col min="1044" max="1044" width="11.75" customWidth="1"/>
    <col min="1045" max="1045" width="13.33203125" customWidth="1"/>
    <col min="1046" max="1046" width="21.58203125" customWidth="1"/>
    <col min="1047" max="1047" width="16.08203125" customWidth="1"/>
    <col min="1048" max="1049" width="14" customWidth="1"/>
    <col min="1050" max="1050" width="9.58203125" customWidth="1"/>
    <col min="1051" max="1051" width="10.75" customWidth="1"/>
    <col min="1052" max="1052" width="9.58203125" customWidth="1"/>
    <col min="1053" max="1053" width="9.25" customWidth="1"/>
    <col min="1054" max="1054" width="9.33203125" customWidth="1"/>
    <col min="1055" max="1056" width="13.25" customWidth="1"/>
    <col min="1057" max="1057" width="8.25" bestFit="1" customWidth="1"/>
    <col min="1058" max="1058" width="10" customWidth="1"/>
    <col min="1060" max="1060" width="9.75" customWidth="1"/>
    <col min="1061" max="1061" width="9.33203125" customWidth="1"/>
    <col min="1062" max="1062" width="10.5" bestFit="1" customWidth="1"/>
    <col min="1069" max="1069" width="9.58203125" customWidth="1"/>
    <col min="1070" max="1070" width="14.75" customWidth="1"/>
    <col min="1071" max="1071" width="11.33203125" customWidth="1"/>
    <col min="1072" max="1072" width="9.83203125" customWidth="1"/>
    <col min="1073" max="1073" width="10.75" customWidth="1"/>
    <col min="1074" max="1074" width="10.08203125" bestFit="1" customWidth="1"/>
    <col min="1075" max="1075" width="12.5" customWidth="1"/>
    <col min="1076" max="1076" width="10.58203125" customWidth="1"/>
    <col min="1079" max="1079" width="15.75" customWidth="1"/>
    <col min="1080" max="1080" width="10" customWidth="1"/>
    <col min="1083" max="1083" width="8.83203125" customWidth="1"/>
    <col min="1084" max="1084" width="9.58203125" bestFit="1" customWidth="1"/>
    <col min="1085" max="1085" width="9.33203125" customWidth="1"/>
    <col min="1087" max="1087" width="7.25" customWidth="1"/>
    <col min="1088" max="1088" width="0" hidden="1" customWidth="1"/>
    <col min="1090" max="1090" width="9.33203125" customWidth="1"/>
    <col min="1091" max="1091" width="10.33203125" customWidth="1"/>
    <col min="1092" max="1092" width="15.83203125" customWidth="1"/>
    <col min="1094" max="1094" width="6.75" customWidth="1"/>
    <col min="1281" max="1281" width="0.33203125" customWidth="1"/>
    <col min="1282" max="1282" width="17.25" customWidth="1"/>
    <col min="1283" max="1283" width="13.33203125" customWidth="1"/>
    <col min="1284" max="1284" width="9.58203125" customWidth="1"/>
    <col min="1285" max="1285" width="13.33203125" customWidth="1"/>
    <col min="1286" max="1286" width="8.58203125" customWidth="1"/>
    <col min="1287" max="1287" width="15.58203125" customWidth="1"/>
    <col min="1288" max="1288" width="16.08203125" customWidth="1"/>
    <col min="1289" max="1289" width="12.5" customWidth="1"/>
    <col min="1290" max="1290" width="12.08203125" customWidth="1"/>
    <col min="1291" max="1291" width="18.08203125" customWidth="1"/>
    <col min="1292" max="1292" width="16.25" customWidth="1"/>
    <col min="1293" max="1294" width="12.83203125" customWidth="1"/>
    <col min="1295" max="1295" width="11.33203125" customWidth="1"/>
    <col min="1296" max="1296" width="11.75" customWidth="1"/>
    <col min="1297" max="1297" width="10.83203125" customWidth="1"/>
    <col min="1298" max="1298" width="16" customWidth="1"/>
    <col min="1299" max="1299" width="14.08203125" customWidth="1"/>
    <col min="1300" max="1300" width="11.75" customWidth="1"/>
    <col min="1301" max="1301" width="13.33203125" customWidth="1"/>
    <col min="1302" max="1302" width="21.58203125" customWidth="1"/>
    <col min="1303" max="1303" width="16.08203125" customWidth="1"/>
    <col min="1304" max="1305" width="14" customWidth="1"/>
    <col min="1306" max="1306" width="9.58203125" customWidth="1"/>
    <col min="1307" max="1307" width="10.75" customWidth="1"/>
    <col min="1308" max="1308" width="9.58203125" customWidth="1"/>
    <col min="1309" max="1309" width="9.25" customWidth="1"/>
    <col min="1310" max="1310" width="9.33203125" customWidth="1"/>
    <col min="1311" max="1312" width="13.25" customWidth="1"/>
    <col min="1313" max="1313" width="8.25" bestFit="1" customWidth="1"/>
    <col min="1314" max="1314" width="10" customWidth="1"/>
    <col min="1316" max="1316" width="9.75" customWidth="1"/>
    <col min="1317" max="1317" width="9.33203125" customWidth="1"/>
    <col min="1318" max="1318" width="10.5" bestFit="1" customWidth="1"/>
    <col min="1325" max="1325" width="9.58203125" customWidth="1"/>
    <col min="1326" max="1326" width="14.75" customWidth="1"/>
    <col min="1327" max="1327" width="11.33203125" customWidth="1"/>
    <col min="1328" max="1328" width="9.83203125" customWidth="1"/>
    <col min="1329" max="1329" width="10.75" customWidth="1"/>
    <col min="1330" max="1330" width="10.08203125" bestFit="1" customWidth="1"/>
    <col min="1331" max="1331" width="12.5" customWidth="1"/>
    <col min="1332" max="1332" width="10.58203125" customWidth="1"/>
    <col min="1335" max="1335" width="15.75" customWidth="1"/>
    <col min="1336" max="1336" width="10" customWidth="1"/>
    <col min="1339" max="1339" width="8.83203125" customWidth="1"/>
    <col min="1340" max="1340" width="9.58203125" bestFit="1" customWidth="1"/>
    <col min="1341" max="1341" width="9.33203125" customWidth="1"/>
    <col min="1343" max="1343" width="7.25" customWidth="1"/>
    <col min="1344" max="1344" width="0" hidden="1" customWidth="1"/>
    <col min="1346" max="1346" width="9.33203125" customWidth="1"/>
    <col min="1347" max="1347" width="10.33203125" customWidth="1"/>
    <col min="1348" max="1348" width="15.83203125" customWidth="1"/>
    <col min="1350" max="1350" width="6.75" customWidth="1"/>
    <col min="1537" max="1537" width="0.33203125" customWidth="1"/>
    <col min="1538" max="1538" width="17.25" customWidth="1"/>
    <col min="1539" max="1539" width="13.33203125" customWidth="1"/>
    <col min="1540" max="1540" width="9.58203125" customWidth="1"/>
    <col min="1541" max="1541" width="13.33203125" customWidth="1"/>
    <col min="1542" max="1542" width="8.58203125" customWidth="1"/>
    <col min="1543" max="1543" width="15.58203125" customWidth="1"/>
    <col min="1544" max="1544" width="16.08203125" customWidth="1"/>
    <col min="1545" max="1545" width="12.5" customWidth="1"/>
    <col min="1546" max="1546" width="12.08203125" customWidth="1"/>
    <col min="1547" max="1547" width="18.08203125" customWidth="1"/>
    <col min="1548" max="1548" width="16.25" customWidth="1"/>
    <col min="1549" max="1550" width="12.83203125" customWidth="1"/>
    <col min="1551" max="1551" width="11.33203125" customWidth="1"/>
    <col min="1552" max="1552" width="11.75" customWidth="1"/>
    <col min="1553" max="1553" width="10.83203125" customWidth="1"/>
    <col min="1554" max="1554" width="16" customWidth="1"/>
    <col min="1555" max="1555" width="14.08203125" customWidth="1"/>
    <col min="1556" max="1556" width="11.75" customWidth="1"/>
    <col min="1557" max="1557" width="13.33203125" customWidth="1"/>
    <col min="1558" max="1558" width="21.58203125" customWidth="1"/>
    <col min="1559" max="1559" width="16.08203125" customWidth="1"/>
    <col min="1560" max="1561" width="14" customWidth="1"/>
    <col min="1562" max="1562" width="9.58203125" customWidth="1"/>
    <col min="1563" max="1563" width="10.75" customWidth="1"/>
    <col min="1564" max="1564" width="9.58203125" customWidth="1"/>
    <col min="1565" max="1565" width="9.25" customWidth="1"/>
    <col min="1566" max="1566" width="9.33203125" customWidth="1"/>
    <col min="1567" max="1568" width="13.25" customWidth="1"/>
    <col min="1569" max="1569" width="8.25" bestFit="1" customWidth="1"/>
    <col min="1570" max="1570" width="10" customWidth="1"/>
    <col min="1572" max="1572" width="9.75" customWidth="1"/>
    <col min="1573" max="1573" width="9.33203125" customWidth="1"/>
    <col min="1574" max="1574" width="10.5" bestFit="1" customWidth="1"/>
    <col min="1581" max="1581" width="9.58203125" customWidth="1"/>
    <col min="1582" max="1582" width="14.75" customWidth="1"/>
    <col min="1583" max="1583" width="11.33203125" customWidth="1"/>
    <col min="1584" max="1584" width="9.83203125" customWidth="1"/>
    <col min="1585" max="1585" width="10.75" customWidth="1"/>
    <col min="1586" max="1586" width="10.08203125" bestFit="1" customWidth="1"/>
    <col min="1587" max="1587" width="12.5" customWidth="1"/>
    <col min="1588" max="1588" width="10.58203125" customWidth="1"/>
    <col min="1591" max="1591" width="15.75" customWidth="1"/>
    <col min="1592" max="1592" width="10" customWidth="1"/>
    <col min="1595" max="1595" width="8.83203125" customWidth="1"/>
    <col min="1596" max="1596" width="9.58203125" bestFit="1" customWidth="1"/>
    <col min="1597" max="1597" width="9.33203125" customWidth="1"/>
    <col min="1599" max="1599" width="7.25" customWidth="1"/>
    <col min="1600" max="1600" width="0" hidden="1" customWidth="1"/>
    <col min="1602" max="1602" width="9.33203125" customWidth="1"/>
    <col min="1603" max="1603" width="10.33203125" customWidth="1"/>
    <col min="1604" max="1604" width="15.83203125" customWidth="1"/>
    <col min="1606" max="1606" width="6.75" customWidth="1"/>
    <col min="1793" max="1793" width="0.33203125" customWidth="1"/>
    <col min="1794" max="1794" width="17.25" customWidth="1"/>
    <col min="1795" max="1795" width="13.33203125" customWidth="1"/>
    <col min="1796" max="1796" width="9.58203125" customWidth="1"/>
    <col min="1797" max="1797" width="13.33203125" customWidth="1"/>
    <col min="1798" max="1798" width="8.58203125" customWidth="1"/>
    <col min="1799" max="1799" width="15.58203125" customWidth="1"/>
    <col min="1800" max="1800" width="16.08203125" customWidth="1"/>
    <col min="1801" max="1801" width="12.5" customWidth="1"/>
    <col min="1802" max="1802" width="12.08203125" customWidth="1"/>
    <col min="1803" max="1803" width="18.08203125" customWidth="1"/>
    <col min="1804" max="1804" width="16.25" customWidth="1"/>
    <col min="1805" max="1806" width="12.83203125" customWidth="1"/>
    <col min="1807" max="1807" width="11.33203125" customWidth="1"/>
    <col min="1808" max="1808" width="11.75" customWidth="1"/>
    <col min="1809" max="1809" width="10.83203125" customWidth="1"/>
    <col min="1810" max="1810" width="16" customWidth="1"/>
    <col min="1811" max="1811" width="14.08203125" customWidth="1"/>
    <col min="1812" max="1812" width="11.75" customWidth="1"/>
    <col min="1813" max="1813" width="13.33203125" customWidth="1"/>
    <col min="1814" max="1814" width="21.58203125" customWidth="1"/>
    <col min="1815" max="1815" width="16.08203125" customWidth="1"/>
    <col min="1816" max="1817" width="14" customWidth="1"/>
    <col min="1818" max="1818" width="9.58203125" customWidth="1"/>
    <col min="1819" max="1819" width="10.75" customWidth="1"/>
    <col min="1820" max="1820" width="9.58203125" customWidth="1"/>
    <col min="1821" max="1821" width="9.25" customWidth="1"/>
    <col min="1822" max="1822" width="9.33203125" customWidth="1"/>
    <col min="1823" max="1824" width="13.25" customWidth="1"/>
    <col min="1825" max="1825" width="8.25" bestFit="1" customWidth="1"/>
    <col min="1826" max="1826" width="10" customWidth="1"/>
    <col min="1828" max="1828" width="9.75" customWidth="1"/>
    <col min="1829" max="1829" width="9.33203125" customWidth="1"/>
    <col min="1830" max="1830" width="10.5" bestFit="1" customWidth="1"/>
    <col min="1837" max="1837" width="9.58203125" customWidth="1"/>
    <col min="1838" max="1838" width="14.75" customWidth="1"/>
    <col min="1839" max="1839" width="11.33203125" customWidth="1"/>
    <col min="1840" max="1840" width="9.83203125" customWidth="1"/>
    <col min="1841" max="1841" width="10.75" customWidth="1"/>
    <col min="1842" max="1842" width="10.08203125" bestFit="1" customWidth="1"/>
    <col min="1843" max="1843" width="12.5" customWidth="1"/>
    <col min="1844" max="1844" width="10.58203125" customWidth="1"/>
    <col min="1847" max="1847" width="15.75" customWidth="1"/>
    <col min="1848" max="1848" width="10" customWidth="1"/>
    <col min="1851" max="1851" width="8.83203125" customWidth="1"/>
    <col min="1852" max="1852" width="9.58203125" bestFit="1" customWidth="1"/>
    <col min="1853" max="1853" width="9.33203125" customWidth="1"/>
    <col min="1855" max="1855" width="7.25" customWidth="1"/>
    <col min="1856" max="1856" width="0" hidden="1" customWidth="1"/>
    <col min="1858" max="1858" width="9.33203125" customWidth="1"/>
    <col min="1859" max="1859" width="10.33203125" customWidth="1"/>
    <col min="1860" max="1860" width="15.83203125" customWidth="1"/>
    <col min="1862" max="1862" width="6.75" customWidth="1"/>
    <col min="2049" max="2049" width="0.33203125" customWidth="1"/>
    <col min="2050" max="2050" width="17.25" customWidth="1"/>
    <col min="2051" max="2051" width="13.33203125" customWidth="1"/>
    <col min="2052" max="2052" width="9.58203125" customWidth="1"/>
    <col min="2053" max="2053" width="13.33203125" customWidth="1"/>
    <col min="2054" max="2054" width="8.58203125" customWidth="1"/>
    <col min="2055" max="2055" width="15.58203125" customWidth="1"/>
    <col min="2056" max="2056" width="16.08203125" customWidth="1"/>
    <col min="2057" max="2057" width="12.5" customWidth="1"/>
    <col min="2058" max="2058" width="12.08203125" customWidth="1"/>
    <col min="2059" max="2059" width="18.08203125" customWidth="1"/>
    <col min="2060" max="2060" width="16.25" customWidth="1"/>
    <col min="2061" max="2062" width="12.83203125" customWidth="1"/>
    <col min="2063" max="2063" width="11.33203125" customWidth="1"/>
    <col min="2064" max="2064" width="11.75" customWidth="1"/>
    <col min="2065" max="2065" width="10.83203125" customWidth="1"/>
    <col min="2066" max="2066" width="16" customWidth="1"/>
    <col min="2067" max="2067" width="14.08203125" customWidth="1"/>
    <col min="2068" max="2068" width="11.75" customWidth="1"/>
    <col min="2069" max="2069" width="13.33203125" customWidth="1"/>
    <col min="2070" max="2070" width="21.58203125" customWidth="1"/>
    <col min="2071" max="2071" width="16.08203125" customWidth="1"/>
    <col min="2072" max="2073" width="14" customWidth="1"/>
    <col min="2074" max="2074" width="9.58203125" customWidth="1"/>
    <col min="2075" max="2075" width="10.75" customWidth="1"/>
    <col min="2076" max="2076" width="9.58203125" customWidth="1"/>
    <col min="2077" max="2077" width="9.25" customWidth="1"/>
    <col min="2078" max="2078" width="9.33203125" customWidth="1"/>
    <col min="2079" max="2080" width="13.25" customWidth="1"/>
    <col min="2081" max="2081" width="8.25" bestFit="1" customWidth="1"/>
    <col min="2082" max="2082" width="10" customWidth="1"/>
    <col min="2084" max="2084" width="9.75" customWidth="1"/>
    <col min="2085" max="2085" width="9.33203125" customWidth="1"/>
    <col min="2086" max="2086" width="10.5" bestFit="1" customWidth="1"/>
    <col min="2093" max="2093" width="9.58203125" customWidth="1"/>
    <col min="2094" max="2094" width="14.75" customWidth="1"/>
    <col min="2095" max="2095" width="11.33203125" customWidth="1"/>
    <col min="2096" max="2096" width="9.83203125" customWidth="1"/>
    <col min="2097" max="2097" width="10.75" customWidth="1"/>
    <col min="2098" max="2098" width="10.08203125" bestFit="1" customWidth="1"/>
    <col min="2099" max="2099" width="12.5" customWidth="1"/>
    <col min="2100" max="2100" width="10.58203125" customWidth="1"/>
    <col min="2103" max="2103" width="15.75" customWidth="1"/>
    <col min="2104" max="2104" width="10" customWidth="1"/>
    <col min="2107" max="2107" width="8.83203125" customWidth="1"/>
    <col min="2108" max="2108" width="9.58203125" bestFit="1" customWidth="1"/>
    <col min="2109" max="2109" width="9.33203125" customWidth="1"/>
    <col min="2111" max="2111" width="7.25" customWidth="1"/>
    <col min="2112" max="2112" width="0" hidden="1" customWidth="1"/>
    <col min="2114" max="2114" width="9.33203125" customWidth="1"/>
    <col min="2115" max="2115" width="10.33203125" customWidth="1"/>
    <col min="2116" max="2116" width="15.83203125" customWidth="1"/>
    <col min="2118" max="2118" width="6.75" customWidth="1"/>
    <col min="2305" max="2305" width="0.33203125" customWidth="1"/>
    <col min="2306" max="2306" width="17.25" customWidth="1"/>
    <col min="2307" max="2307" width="13.33203125" customWidth="1"/>
    <col min="2308" max="2308" width="9.58203125" customWidth="1"/>
    <col min="2309" max="2309" width="13.33203125" customWidth="1"/>
    <col min="2310" max="2310" width="8.58203125" customWidth="1"/>
    <col min="2311" max="2311" width="15.58203125" customWidth="1"/>
    <col min="2312" max="2312" width="16.08203125" customWidth="1"/>
    <col min="2313" max="2313" width="12.5" customWidth="1"/>
    <col min="2314" max="2314" width="12.08203125" customWidth="1"/>
    <col min="2315" max="2315" width="18.08203125" customWidth="1"/>
    <col min="2316" max="2316" width="16.25" customWidth="1"/>
    <col min="2317" max="2318" width="12.83203125" customWidth="1"/>
    <col min="2319" max="2319" width="11.33203125" customWidth="1"/>
    <col min="2320" max="2320" width="11.75" customWidth="1"/>
    <col min="2321" max="2321" width="10.83203125" customWidth="1"/>
    <col min="2322" max="2322" width="16" customWidth="1"/>
    <col min="2323" max="2323" width="14.08203125" customWidth="1"/>
    <col min="2324" max="2324" width="11.75" customWidth="1"/>
    <col min="2325" max="2325" width="13.33203125" customWidth="1"/>
    <col min="2326" max="2326" width="21.58203125" customWidth="1"/>
    <col min="2327" max="2327" width="16.08203125" customWidth="1"/>
    <col min="2328" max="2329" width="14" customWidth="1"/>
    <col min="2330" max="2330" width="9.58203125" customWidth="1"/>
    <col min="2331" max="2331" width="10.75" customWidth="1"/>
    <col min="2332" max="2332" width="9.58203125" customWidth="1"/>
    <col min="2333" max="2333" width="9.25" customWidth="1"/>
    <col min="2334" max="2334" width="9.33203125" customWidth="1"/>
    <col min="2335" max="2336" width="13.25" customWidth="1"/>
    <col min="2337" max="2337" width="8.25" bestFit="1" customWidth="1"/>
    <col min="2338" max="2338" width="10" customWidth="1"/>
    <col min="2340" max="2340" width="9.75" customWidth="1"/>
    <col min="2341" max="2341" width="9.33203125" customWidth="1"/>
    <col min="2342" max="2342" width="10.5" bestFit="1" customWidth="1"/>
    <col min="2349" max="2349" width="9.58203125" customWidth="1"/>
    <col min="2350" max="2350" width="14.75" customWidth="1"/>
    <col min="2351" max="2351" width="11.33203125" customWidth="1"/>
    <col min="2352" max="2352" width="9.83203125" customWidth="1"/>
    <col min="2353" max="2353" width="10.75" customWidth="1"/>
    <col min="2354" max="2354" width="10.08203125" bestFit="1" customWidth="1"/>
    <col min="2355" max="2355" width="12.5" customWidth="1"/>
    <col min="2356" max="2356" width="10.58203125" customWidth="1"/>
    <col min="2359" max="2359" width="15.75" customWidth="1"/>
    <col min="2360" max="2360" width="10" customWidth="1"/>
    <col min="2363" max="2363" width="8.83203125" customWidth="1"/>
    <col min="2364" max="2364" width="9.58203125" bestFit="1" customWidth="1"/>
    <col min="2365" max="2365" width="9.33203125" customWidth="1"/>
    <col min="2367" max="2367" width="7.25" customWidth="1"/>
    <col min="2368" max="2368" width="0" hidden="1" customWidth="1"/>
    <col min="2370" max="2370" width="9.33203125" customWidth="1"/>
    <col min="2371" max="2371" width="10.33203125" customWidth="1"/>
    <col min="2372" max="2372" width="15.83203125" customWidth="1"/>
    <col min="2374" max="2374" width="6.75" customWidth="1"/>
    <col min="2561" max="2561" width="0.33203125" customWidth="1"/>
    <col min="2562" max="2562" width="17.25" customWidth="1"/>
    <col min="2563" max="2563" width="13.33203125" customWidth="1"/>
    <col min="2564" max="2564" width="9.58203125" customWidth="1"/>
    <col min="2565" max="2565" width="13.33203125" customWidth="1"/>
    <col min="2566" max="2566" width="8.58203125" customWidth="1"/>
    <col min="2567" max="2567" width="15.58203125" customWidth="1"/>
    <col min="2568" max="2568" width="16.08203125" customWidth="1"/>
    <col min="2569" max="2569" width="12.5" customWidth="1"/>
    <col min="2570" max="2570" width="12.08203125" customWidth="1"/>
    <col min="2571" max="2571" width="18.08203125" customWidth="1"/>
    <col min="2572" max="2572" width="16.25" customWidth="1"/>
    <col min="2573" max="2574" width="12.83203125" customWidth="1"/>
    <col min="2575" max="2575" width="11.33203125" customWidth="1"/>
    <col min="2576" max="2576" width="11.75" customWidth="1"/>
    <col min="2577" max="2577" width="10.83203125" customWidth="1"/>
    <col min="2578" max="2578" width="16" customWidth="1"/>
    <col min="2579" max="2579" width="14.08203125" customWidth="1"/>
    <col min="2580" max="2580" width="11.75" customWidth="1"/>
    <col min="2581" max="2581" width="13.33203125" customWidth="1"/>
    <col min="2582" max="2582" width="21.58203125" customWidth="1"/>
    <col min="2583" max="2583" width="16.08203125" customWidth="1"/>
    <col min="2584" max="2585" width="14" customWidth="1"/>
    <col min="2586" max="2586" width="9.58203125" customWidth="1"/>
    <col min="2587" max="2587" width="10.75" customWidth="1"/>
    <col min="2588" max="2588" width="9.58203125" customWidth="1"/>
    <col min="2589" max="2589" width="9.25" customWidth="1"/>
    <col min="2590" max="2590" width="9.33203125" customWidth="1"/>
    <col min="2591" max="2592" width="13.25" customWidth="1"/>
    <col min="2593" max="2593" width="8.25" bestFit="1" customWidth="1"/>
    <col min="2594" max="2594" width="10" customWidth="1"/>
    <col min="2596" max="2596" width="9.75" customWidth="1"/>
    <col min="2597" max="2597" width="9.33203125" customWidth="1"/>
    <col min="2598" max="2598" width="10.5" bestFit="1" customWidth="1"/>
    <col min="2605" max="2605" width="9.58203125" customWidth="1"/>
    <col min="2606" max="2606" width="14.75" customWidth="1"/>
    <col min="2607" max="2607" width="11.33203125" customWidth="1"/>
    <col min="2608" max="2608" width="9.83203125" customWidth="1"/>
    <col min="2609" max="2609" width="10.75" customWidth="1"/>
    <col min="2610" max="2610" width="10.08203125" bestFit="1" customWidth="1"/>
    <col min="2611" max="2611" width="12.5" customWidth="1"/>
    <col min="2612" max="2612" width="10.58203125" customWidth="1"/>
    <col min="2615" max="2615" width="15.75" customWidth="1"/>
    <col min="2616" max="2616" width="10" customWidth="1"/>
    <col min="2619" max="2619" width="8.83203125" customWidth="1"/>
    <col min="2620" max="2620" width="9.58203125" bestFit="1" customWidth="1"/>
    <col min="2621" max="2621" width="9.33203125" customWidth="1"/>
    <col min="2623" max="2623" width="7.25" customWidth="1"/>
    <col min="2624" max="2624" width="0" hidden="1" customWidth="1"/>
    <col min="2626" max="2626" width="9.33203125" customWidth="1"/>
    <col min="2627" max="2627" width="10.33203125" customWidth="1"/>
    <col min="2628" max="2628" width="15.83203125" customWidth="1"/>
    <col min="2630" max="2630" width="6.75" customWidth="1"/>
    <col min="2817" max="2817" width="0.33203125" customWidth="1"/>
    <col min="2818" max="2818" width="17.25" customWidth="1"/>
    <col min="2819" max="2819" width="13.33203125" customWidth="1"/>
    <col min="2820" max="2820" width="9.58203125" customWidth="1"/>
    <col min="2821" max="2821" width="13.33203125" customWidth="1"/>
    <col min="2822" max="2822" width="8.58203125" customWidth="1"/>
    <col min="2823" max="2823" width="15.58203125" customWidth="1"/>
    <col min="2824" max="2824" width="16.08203125" customWidth="1"/>
    <col min="2825" max="2825" width="12.5" customWidth="1"/>
    <col min="2826" max="2826" width="12.08203125" customWidth="1"/>
    <col min="2827" max="2827" width="18.08203125" customWidth="1"/>
    <col min="2828" max="2828" width="16.25" customWidth="1"/>
    <col min="2829" max="2830" width="12.83203125" customWidth="1"/>
    <col min="2831" max="2831" width="11.33203125" customWidth="1"/>
    <col min="2832" max="2832" width="11.75" customWidth="1"/>
    <col min="2833" max="2833" width="10.83203125" customWidth="1"/>
    <col min="2834" max="2834" width="16" customWidth="1"/>
    <col min="2835" max="2835" width="14.08203125" customWidth="1"/>
    <col min="2836" max="2836" width="11.75" customWidth="1"/>
    <col min="2837" max="2837" width="13.33203125" customWidth="1"/>
    <col min="2838" max="2838" width="21.58203125" customWidth="1"/>
    <col min="2839" max="2839" width="16.08203125" customWidth="1"/>
    <col min="2840" max="2841" width="14" customWidth="1"/>
    <col min="2842" max="2842" width="9.58203125" customWidth="1"/>
    <col min="2843" max="2843" width="10.75" customWidth="1"/>
    <col min="2844" max="2844" width="9.58203125" customWidth="1"/>
    <col min="2845" max="2845" width="9.25" customWidth="1"/>
    <col min="2846" max="2846" width="9.33203125" customWidth="1"/>
    <col min="2847" max="2848" width="13.25" customWidth="1"/>
    <col min="2849" max="2849" width="8.25" bestFit="1" customWidth="1"/>
    <col min="2850" max="2850" width="10" customWidth="1"/>
    <col min="2852" max="2852" width="9.75" customWidth="1"/>
    <col min="2853" max="2853" width="9.33203125" customWidth="1"/>
    <col min="2854" max="2854" width="10.5" bestFit="1" customWidth="1"/>
    <col min="2861" max="2861" width="9.58203125" customWidth="1"/>
    <col min="2862" max="2862" width="14.75" customWidth="1"/>
    <col min="2863" max="2863" width="11.33203125" customWidth="1"/>
    <col min="2864" max="2864" width="9.83203125" customWidth="1"/>
    <col min="2865" max="2865" width="10.75" customWidth="1"/>
    <col min="2866" max="2866" width="10.08203125" bestFit="1" customWidth="1"/>
    <col min="2867" max="2867" width="12.5" customWidth="1"/>
    <col min="2868" max="2868" width="10.58203125" customWidth="1"/>
    <col min="2871" max="2871" width="15.75" customWidth="1"/>
    <col min="2872" max="2872" width="10" customWidth="1"/>
    <col min="2875" max="2875" width="8.83203125" customWidth="1"/>
    <col min="2876" max="2876" width="9.58203125" bestFit="1" customWidth="1"/>
    <col min="2877" max="2877" width="9.33203125" customWidth="1"/>
    <col min="2879" max="2879" width="7.25" customWidth="1"/>
    <col min="2880" max="2880" width="0" hidden="1" customWidth="1"/>
    <col min="2882" max="2882" width="9.33203125" customWidth="1"/>
    <col min="2883" max="2883" width="10.33203125" customWidth="1"/>
    <col min="2884" max="2884" width="15.83203125" customWidth="1"/>
    <col min="2886" max="2886" width="6.75" customWidth="1"/>
    <col min="3073" max="3073" width="0.33203125" customWidth="1"/>
    <col min="3074" max="3074" width="17.25" customWidth="1"/>
    <col min="3075" max="3075" width="13.33203125" customWidth="1"/>
    <col min="3076" max="3076" width="9.58203125" customWidth="1"/>
    <col min="3077" max="3077" width="13.33203125" customWidth="1"/>
    <col min="3078" max="3078" width="8.58203125" customWidth="1"/>
    <col min="3079" max="3079" width="15.58203125" customWidth="1"/>
    <col min="3080" max="3080" width="16.08203125" customWidth="1"/>
    <col min="3081" max="3081" width="12.5" customWidth="1"/>
    <col min="3082" max="3082" width="12.08203125" customWidth="1"/>
    <col min="3083" max="3083" width="18.08203125" customWidth="1"/>
    <col min="3084" max="3084" width="16.25" customWidth="1"/>
    <col min="3085" max="3086" width="12.83203125" customWidth="1"/>
    <col min="3087" max="3087" width="11.33203125" customWidth="1"/>
    <col min="3088" max="3088" width="11.75" customWidth="1"/>
    <col min="3089" max="3089" width="10.83203125" customWidth="1"/>
    <col min="3090" max="3090" width="16" customWidth="1"/>
    <col min="3091" max="3091" width="14.08203125" customWidth="1"/>
    <col min="3092" max="3092" width="11.75" customWidth="1"/>
    <col min="3093" max="3093" width="13.33203125" customWidth="1"/>
    <col min="3094" max="3094" width="21.58203125" customWidth="1"/>
    <col min="3095" max="3095" width="16.08203125" customWidth="1"/>
    <col min="3096" max="3097" width="14" customWidth="1"/>
    <col min="3098" max="3098" width="9.58203125" customWidth="1"/>
    <col min="3099" max="3099" width="10.75" customWidth="1"/>
    <col min="3100" max="3100" width="9.58203125" customWidth="1"/>
    <col min="3101" max="3101" width="9.25" customWidth="1"/>
    <col min="3102" max="3102" width="9.33203125" customWidth="1"/>
    <col min="3103" max="3104" width="13.25" customWidth="1"/>
    <col min="3105" max="3105" width="8.25" bestFit="1" customWidth="1"/>
    <col min="3106" max="3106" width="10" customWidth="1"/>
    <col min="3108" max="3108" width="9.75" customWidth="1"/>
    <col min="3109" max="3109" width="9.33203125" customWidth="1"/>
    <col min="3110" max="3110" width="10.5" bestFit="1" customWidth="1"/>
    <col min="3117" max="3117" width="9.58203125" customWidth="1"/>
    <col min="3118" max="3118" width="14.75" customWidth="1"/>
    <col min="3119" max="3119" width="11.33203125" customWidth="1"/>
    <col min="3120" max="3120" width="9.83203125" customWidth="1"/>
    <col min="3121" max="3121" width="10.75" customWidth="1"/>
    <col min="3122" max="3122" width="10.08203125" bestFit="1" customWidth="1"/>
    <col min="3123" max="3123" width="12.5" customWidth="1"/>
    <col min="3124" max="3124" width="10.58203125" customWidth="1"/>
    <col min="3127" max="3127" width="15.75" customWidth="1"/>
    <col min="3128" max="3128" width="10" customWidth="1"/>
    <col min="3131" max="3131" width="8.83203125" customWidth="1"/>
    <col min="3132" max="3132" width="9.58203125" bestFit="1" customWidth="1"/>
    <col min="3133" max="3133" width="9.33203125" customWidth="1"/>
    <col min="3135" max="3135" width="7.25" customWidth="1"/>
    <col min="3136" max="3136" width="0" hidden="1" customWidth="1"/>
    <col min="3138" max="3138" width="9.33203125" customWidth="1"/>
    <col min="3139" max="3139" width="10.33203125" customWidth="1"/>
    <col min="3140" max="3140" width="15.83203125" customWidth="1"/>
    <col min="3142" max="3142" width="6.75" customWidth="1"/>
    <col min="3329" max="3329" width="0.33203125" customWidth="1"/>
    <col min="3330" max="3330" width="17.25" customWidth="1"/>
    <col min="3331" max="3331" width="13.33203125" customWidth="1"/>
    <col min="3332" max="3332" width="9.58203125" customWidth="1"/>
    <col min="3333" max="3333" width="13.33203125" customWidth="1"/>
    <col min="3334" max="3334" width="8.58203125" customWidth="1"/>
    <col min="3335" max="3335" width="15.58203125" customWidth="1"/>
    <col min="3336" max="3336" width="16.08203125" customWidth="1"/>
    <col min="3337" max="3337" width="12.5" customWidth="1"/>
    <col min="3338" max="3338" width="12.08203125" customWidth="1"/>
    <col min="3339" max="3339" width="18.08203125" customWidth="1"/>
    <col min="3340" max="3340" width="16.25" customWidth="1"/>
    <col min="3341" max="3342" width="12.83203125" customWidth="1"/>
    <col min="3343" max="3343" width="11.33203125" customWidth="1"/>
    <col min="3344" max="3344" width="11.75" customWidth="1"/>
    <col min="3345" max="3345" width="10.83203125" customWidth="1"/>
    <col min="3346" max="3346" width="16" customWidth="1"/>
    <col min="3347" max="3347" width="14.08203125" customWidth="1"/>
    <col min="3348" max="3348" width="11.75" customWidth="1"/>
    <col min="3349" max="3349" width="13.33203125" customWidth="1"/>
    <col min="3350" max="3350" width="21.58203125" customWidth="1"/>
    <col min="3351" max="3351" width="16.08203125" customWidth="1"/>
    <col min="3352" max="3353" width="14" customWidth="1"/>
    <col min="3354" max="3354" width="9.58203125" customWidth="1"/>
    <col min="3355" max="3355" width="10.75" customWidth="1"/>
    <col min="3356" max="3356" width="9.58203125" customWidth="1"/>
    <col min="3357" max="3357" width="9.25" customWidth="1"/>
    <col min="3358" max="3358" width="9.33203125" customWidth="1"/>
    <col min="3359" max="3360" width="13.25" customWidth="1"/>
    <col min="3361" max="3361" width="8.25" bestFit="1" customWidth="1"/>
    <col min="3362" max="3362" width="10" customWidth="1"/>
    <col min="3364" max="3364" width="9.75" customWidth="1"/>
    <col min="3365" max="3365" width="9.33203125" customWidth="1"/>
    <col min="3366" max="3366" width="10.5" bestFit="1" customWidth="1"/>
    <col min="3373" max="3373" width="9.58203125" customWidth="1"/>
    <col min="3374" max="3374" width="14.75" customWidth="1"/>
    <col min="3375" max="3375" width="11.33203125" customWidth="1"/>
    <col min="3376" max="3376" width="9.83203125" customWidth="1"/>
    <col min="3377" max="3377" width="10.75" customWidth="1"/>
    <col min="3378" max="3378" width="10.08203125" bestFit="1" customWidth="1"/>
    <col min="3379" max="3379" width="12.5" customWidth="1"/>
    <col min="3380" max="3380" width="10.58203125" customWidth="1"/>
    <col min="3383" max="3383" width="15.75" customWidth="1"/>
    <col min="3384" max="3384" width="10" customWidth="1"/>
    <col min="3387" max="3387" width="8.83203125" customWidth="1"/>
    <col min="3388" max="3388" width="9.58203125" bestFit="1" customWidth="1"/>
    <col min="3389" max="3389" width="9.33203125" customWidth="1"/>
    <col min="3391" max="3391" width="7.25" customWidth="1"/>
    <col min="3392" max="3392" width="0" hidden="1" customWidth="1"/>
    <col min="3394" max="3394" width="9.33203125" customWidth="1"/>
    <col min="3395" max="3395" width="10.33203125" customWidth="1"/>
    <col min="3396" max="3396" width="15.83203125" customWidth="1"/>
    <col min="3398" max="3398" width="6.75" customWidth="1"/>
    <col min="3585" max="3585" width="0.33203125" customWidth="1"/>
    <col min="3586" max="3586" width="17.25" customWidth="1"/>
    <col min="3587" max="3587" width="13.33203125" customWidth="1"/>
    <col min="3588" max="3588" width="9.58203125" customWidth="1"/>
    <col min="3589" max="3589" width="13.33203125" customWidth="1"/>
    <col min="3590" max="3590" width="8.58203125" customWidth="1"/>
    <col min="3591" max="3591" width="15.58203125" customWidth="1"/>
    <col min="3592" max="3592" width="16.08203125" customWidth="1"/>
    <col min="3593" max="3593" width="12.5" customWidth="1"/>
    <col min="3594" max="3594" width="12.08203125" customWidth="1"/>
    <col min="3595" max="3595" width="18.08203125" customWidth="1"/>
    <col min="3596" max="3596" width="16.25" customWidth="1"/>
    <col min="3597" max="3598" width="12.83203125" customWidth="1"/>
    <col min="3599" max="3599" width="11.33203125" customWidth="1"/>
    <col min="3600" max="3600" width="11.75" customWidth="1"/>
    <col min="3601" max="3601" width="10.83203125" customWidth="1"/>
    <col min="3602" max="3602" width="16" customWidth="1"/>
    <col min="3603" max="3603" width="14.08203125" customWidth="1"/>
    <col min="3604" max="3604" width="11.75" customWidth="1"/>
    <col min="3605" max="3605" width="13.33203125" customWidth="1"/>
    <col min="3606" max="3606" width="21.58203125" customWidth="1"/>
    <col min="3607" max="3607" width="16.08203125" customWidth="1"/>
    <col min="3608" max="3609" width="14" customWidth="1"/>
    <col min="3610" max="3610" width="9.58203125" customWidth="1"/>
    <col min="3611" max="3611" width="10.75" customWidth="1"/>
    <col min="3612" max="3612" width="9.58203125" customWidth="1"/>
    <col min="3613" max="3613" width="9.25" customWidth="1"/>
    <col min="3614" max="3614" width="9.33203125" customWidth="1"/>
    <col min="3615" max="3616" width="13.25" customWidth="1"/>
    <col min="3617" max="3617" width="8.25" bestFit="1" customWidth="1"/>
    <col min="3618" max="3618" width="10" customWidth="1"/>
    <col min="3620" max="3620" width="9.75" customWidth="1"/>
    <col min="3621" max="3621" width="9.33203125" customWidth="1"/>
    <col min="3622" max="3622" width="10.5" bestFit="1" customWidth="1"/>
    <col min="3629" max="3629" width="9.58203125" customWidth="1"/>
    <col min="3630" max="3630" width="14.75" customWidth="1"/>
    <col min="3631" max="3631" width="11.33203125" customWidth="1"/>
    <col min="3632" max="3632" width="9.83203125" customWidth="1"/>
    <col min="3633" max="3633" width="10.75" customWidth="1"/>
    <col min="3634" max="3634" width="10.08203125" bestFit="1" customWidth="1"/>
    <col min="3635" max="3635" width="12.5" customWidth="1"/>
    <col min="3636" max="3636" width="10.58203125" customWidth="1"/>
    <col min="3639" max="3639" width="15.75" customWidth="1"/>
    <col min="3640" max="3640" width="10" customWidth="1"/>
    <col min="3643" max="3643" width="8.83203125" customWidth="1"/>
    <col min="3644" max="3644" width="9.58203125" bestFit="1" customWidth="1"/>
    <col min="3645" max="3645" width="9.33203125" customWidth="1"/>
    <col min="3647" max="3647" width="7.25" customWidth="1"/>
    <col min="3648" max="3648" width="0" hidden="1" customWidth="1"/>
    <col min="3650" max="3650" width="9.33203125" customWidth="1"/>
    <col min="3651" max="3651" width="10.33203125" customWidth="1"/>
    <col min="3652" max="3652" width="15.83203125" customWidth="1"/>
    <col min="3654" max="3654" width="6.75" customWidth="1"/>
    <col min="3841" max="3841" width="0.33203125" customWidth="1"/>
    <col min="3842" max="3842" width="17.25" customWidth="1"/>
    <col min="3843" max="3843" width="13.33203125" customWidth="1"/>
    <col min="3844" max="3844" width="9.58203125" customWidth="1"/>
    <col min="3845" max="3845" width="13.33203125" customWidth="1"/>
    <col min="3846" max="3846" width="8.58203125" customWidth="1"/>
    <col min="3847" max="3847" width="15.58203125" customWidth="1"/>
    <col min="3848" max="3848" width="16.08203125" customWidth="1"/>
    <col min="3849" max="3849" width="12.5" customWidth="1"/>
    <col min="3850" max="3850" width="12.08203125" customWidth="1"/>
    <col min="3851" max="3851" width="18.08203125" customWidth="1"/>
    <col min="3852" max="3852" width="16.25" customWidth="1"/>
    <col min="3853" max="3854" width="12.83203125" customWidth="1"/>
    <col min="3855" max="3855" width="11.33203125" customWidth="1"/>
    <col min="3856" max="3856" width="11.75" customWidth="1"/>
    <col min="3857" max="3857" width="10.83203125" customWidth="1"/>
    <col min="3858" max="3858" width="16" customWidth="1"/>
    <col min="3859" max="3859" width="14.08203125" customWidth="1"/>
    <col min="3860" max="3860" width="11.75" customWidth="1"/>
    <col min="3861" max="3861" width="13.33203125" customWidth="1"/>
    <col min="3862" max="3862" width="21.58203125" customWidth="1"/>
    <col min="3863" max="3863" width="16.08203125" customWidth="1"/>
    <col min="3864" max="3865" width="14" customWidth="1"/>
    <col min="3866" max="3866" width="9.58203125" customWidth="1"/>
    <col min="3867" max="3867" width="10.75" customWidth="1"/>
    <col min="3868" max="3868" width="9.58203125" customWidth="1"/>
    <col min="3869" max="3869" width="9.25" customWidth="1"/>
    <col min="3870" max="3870" width="9.33203125" customWidth="1"/>
    <col min="3871" max="3872" width="13.25" customWidth="1"/>
    <col min="3873" max="3873" width="8.25" bestFit="1" customWidth="1"/>
    <col min="3874" max="3874" width="10" customWidth="1"/>
    <col min="3876" max="3876" width="9.75" customWidth="1"/>
    <col min="3877" max="3877" width="9.33203125" customWidth="1"/>
    <col min="3878" max="3878" width="10.5" bestFit="1" customWidth="1"/>
    <col min="3885" max="3885" width="9.58203125" customWidth="1"/>
    <col min="3886" max="3886" width="14.75" customWidth="1"/>
    <col min="3887" max="3887" width="11.33203125" customWidth="1"/>
    <col min="3888" max="3888" width="9.83203125" customWidth="1"/>
    <col min="3889" max="3889" width="10.75" customWidth="1"/>
    <col min="3890" max="3890" width="10.08203125" bestFit="1" customWidth="1"/>
    <col min="3891" max="3891" width="12.5" customWidth="1"/>
    <col min="3892" max="3892" width="10.58203125" customWidth="1"/>
    <col min="3895" max="3895" width="15.75" customWidth="1"/>
    <col min="3896" max="3896" width="10" customWidth="1"/>
    <col min="3899" max="3899" width="8.83203125" customWidth="1"/>
    <col min="3900" max="3900" width="9.58203125" bestFit="1" customWidth="1"/>
    <col min="3901" max="3901" width="9.33203125" customWidth="1"/>
    <col min="3903" max="3903" width="7.25" customWidth="1"/>
    <col min="3904" max="3904" width="0" hidden="1" customWidth="1"/>
    <col min="3906" max="3906" width="9.33203125" customWidth="1"/>
    <col min="3907" max="3907" width="10.33203125" customWidth="1"/>
    <col min="3908" max="3908" width="15.83203125" customWidth="1"/>
    <col min="3910" max="3910" width="6.75" customWidth="1"/>
    <col min="4097" max="4097" width="0.33203125" customWidth="1"/>
    <col min="4098" max="4098" width="17.25" customWidth="1"/>
    <col min="4099" max="4099" width="13.33203125" customWidth="1"/>
    <col min="4100" max="4100" width="9.58203125" customWidth="1"/>
    <col min="4101" max="4101" width="13.33203125" customWidth="1"/>
    <col min="4102" max="4102" width="8.58203125" customWidth="1"/>
    <col min="4103" max="4103" width="15.58203125" customWidth="1"/>
    <col min="4104" max="4104" width="16.08203125" customWidth="1"/>
    <col min="4105" max="4105" width="12.5" customWidth="1"/>
    <col min="4106" max="4106" width="12.08203125" customWidth="1"/>
    <col min="4107" max="4107" width="18.08203125" customWidth="1"/>
    <col min="4108" max="4108" width="16.25" customWidth="1"/>
    <col min="4109" max="4110" width="12.83203125" customWidth="1"/>
    <col min="4111" max="4111" width="11.33203125" customWidth="1"/>
    <col min="4112" max="4112" width="11.75" customWidth="1"/>
    <col min="4113" max="4113" width="10.83203125" customWidth="1"/>
    <col min="4114" max="4114" width="16" customWidth="1"/>
    <col min="4115" max="4115" width="14.08203125" customWidth="1"/>
    <col min="4116" max="4116" width="11.75" customWidth="1"/>
    <col min="4117" max="4117" width="13.33203125" customWidth="1"/>
    <col min="4118" max="4118" width="21.58203125" customWidth="1"/>
    <col min="4119" max="4119" width="16.08203125" customWidth="1"/>
    <col min="4120" max="4121" width="14" customWidth="1"/>
    <col min="4122" max="4122" width="9.58203125" customWidth="1"/>
    <col min="4123" max="4123" width="10.75" customWidth="1"/>
    <col min="4124" max="4124" width="9.58203125" customWidth="1"/>
    <col min="4125" max="4125" width="9.25" customWidth="1"/>
    <col min="4126" max="4126" width="9.33203125" customWidth="1"/>
    <col min="4127" max="4128" width="13.25" customWidth="1"/>
    <col min="4129" max="4129" width="8.25" bestFit="1" customWidth="1"/>
    <col min="4130" max="4130" width="10" customWidth="1"/>
    <col min="4132" max="4132" width="9.75" customWidth="1"/>
    <col min="4133" max="4133" width="9.33203125" customWidth="1"/>
    <col min="4134" max="4134" width="10.5" bestFit="1" customWidth="1"/>
    <col min="4141" max="4141" width="9.58203125" customWidth="1"/>
    <col min="4142" max="4142" width="14.75" customWidth="1"/>
    <col min="4143" max="4143" width="11.33203125" customWidth="1"/>
    <col min="4144" max="4144" width="9.83203125" customWidth="1"/>
    <col min="4145" max="4145" width="10.75" customWidth="1"/>
    <col min="4146" max="4146" width="10.08203125" bestFit="1" customWidth="1"/>
    <col min="4147" max="4147" width="12.5" customWidth="1"/>
    <col min="4148" max="4148" width="10.58203125" customWidth="1"/>
    <col min="4151" max="4151" width="15.75" customWidth="1"/>
    <col min="4152" max="4152" width="10" customWidth="1"/>
    <col min="4155" max="4155" width="8.83203125" customWidth="1"/>
    <col min="4156" max="4156" width="9.58203125" bestFit="1" customWidth="1"/>
    <col min="4157" max="4157" width="9.33203125" customWidth="1"/>
    <col min="4159" max="4159" width="7.25" customWidth="1"/>
    <col min="4160" max="4160" width="0" hidden="1" customWidth="1"/>
    <col min="4162" max="4162" width="9.33203125" customWidth="1"/>
    <col min="4163" max="4163" width="10.33203125" customWidth="1"/>
    <col min="4164" max="4164" width="15.83203125" customWidth="1"/>
    <col min="4166" max="4166" width="6.75" customWidth="1"/>
    <col min="4353" max="4353" width="0.33203125" customWidth="1"/>
    <col min="4354" max="4354" width="17.25" customWidth="1"/>
    <col min="4355" max="4355" width="13.33203125" customWidth="1"/>
    <col min="4356" max="4356" width="9.58203125" customWidth="1"/>
    <col min="4357" max="4357" width="13.33203125" customWidth="1"/>
    <col min="4358" max="4358" width="8.58203125" customWidth="1"/>
    <col min="4359" max="4359" width="15.58203125" customWidth="1"/>
    <col min="4360" max="4360" width="16.08203125" customWidth="1"/>
    <col min="4361" max="4361" width="12.5" customWidth="1"/>
    <col min="4362" max="4362" width="12.08203125" customWidth="1"/>
    <col min="4363" max="4363" width="18.08203125" customWidth="1"/>
    <col min="4364" max="4364" width="16.25" customWidth="1"/>
    <col min="4365" max="4366" width="12.83203125" customWidth="1"/>
    <col min="4367" max="4367" width="11.33203125" customWidth="1"/>
    <col min="4368" max="4368" width="11.75" customWidth="1"/>
    <col min="4369" max="4369" width="10.83203125" customWidth="1"/>
    <col min="4370" max="4370" width="16" customWidth="1"/>
    <col min="4371" max="4371" width="14.08203125" customWidth="1"/>
    <col min="4372" max="4372" width="11.75" customWidth="1"/>
    <col min="4373" max="4373" width="13.33203125" customWidth="1"/>
    <col min="4374" max="4374" width="21.58203125" customWidth="1"/>
    <col min="4375" max="4375" width="16.08203125" customWidth="1"/>
    <col min="4376" max="4377" width="14" customWidth="1"/>
    <col min="4378" max="4378" width="9.58203125" customWidth="1"/>
    <col min="4379" max="4379" width="10.75" customWidth="1"/>
    <col min="4380" max="4380" width="9.58203125" customWidth="1"/>
    <col min="4381" max="4381" width="9.25" customWidth="1"/>
    <col min="4382" max="4382" width="9.33203125" customWidth="1"/>
    <col min="4383" max="4384" width="13.25" customWidth="1"/>
    <col min="4385" max="4385" width="8.25" bestFit="1" customWidth="1"/>
    <col min="4386" max="4386" width="10" customWidth="1"/>
    <col min="4388" max="4388" width="9.75" customWidth="1"/>
    <col min="4389" max="4389" width="9.33203125" customWidth="1"/>
    <col min="4390" max="4390" width="10.5" bestFit="1" customWidth="1"/>
    <col min="4397" max="4397" width="9.58203125" customWidth="1"/>
    <col min="4398" max="4398" width="14.75" customWidth="1"/>
    <col min="4399" max="4399" width="11.33203125" customWidth="1"/>
    <col min="4400" max="4400" width="9.83203125" customWidth="1"/>
    <col min="4401" max="4401" width="10.75" customWidth="1"/>
    <col min="4402" max="4402" width="10.08203125" bestFit="1" customWidth="1"/>
    <col min="4403" max="4403" width="12.5" customWidth="1"/>
    <col min="4404" max="4404" width="10.58203125" customWidth="1"/>
    <col min="4407" max="4407" width="15.75" customWidth="1"/>
    <col min="4408" max="4408" width="10" customWidth="1"/>
    <col min="4411" max="4411" width="8.83203125" customWidth="1"/>
    <col min="4412" max="4412" width="9.58203125" bestFit="1" customWidth="1"/>
    <col min="4413" max="4413" width="9.33203125" customWidth="1"/>
    <col min="4415" max="4415" width="7.25" customWidth="1"/>
    <col min="4416" max="4416" width="0" hidden="1" customWidth="1"/>
    <col min="4418" max="4418" width="9.33203125" customWidth="1"/>
    <col min="4419" max="4419" width="10.33203125" customWidth="1"/>
    <col min="4420" max="4420" width="15.83203125" customWidth="1"/>
    <col min="4422" max="4422" width="6.75" customWidth="1"/>
    <col min="4609" max="4609" width="0.33203125" customWidth="1"/>
    <col min="4610" max="4610" width="17.25" customWidth="1"/>
    <col min="4611" max="4611" width="13.33203125" customWidth="1"/>
    <col min="4612" max="4612" width="9.58203125" customWidth="1"/>
    <col min="4613" max="4613" width="13.33203125" customWidth="1"/>
    <col min="4614" max="4614" width="8.58203125" customWidth="1"/>
    <col min="4615" max="4615" width="15.58203125" customWidth="1"/>
    <col min="4616" max="4616" width="16.08203125" customWidth="1"/>
    <col min="4617" max="4617" width="12.5" customWidth="1"/>
    <col min="4618" max="4618" width="12.08203125" customWidth="1"/>
    <col min="4619" max="4619" width="18.08203125" customWidth="1"/>
    <col min="4620" max="4620" width="16.25" customWidth="1"/>
    <col min="4621" max="4622" width="12.83203125" customWidth="1"/>
    <col min="4623" max="4623" width="11.33203125" customWidth="1"/>
    <col min="4624" max="4624" width="11.75" customWidth="1"/>
    <col min="4625" max="4625" width="10.83203125" customWidth="1"/>
    <col min="4626" max="4626" width="16" customWidth="1"/>
    <col min="4627" max="4627" width="14.08203125" customWidth="1"/>
    <col min="4628" max="4628" width="11.75" customWidth="1"/>
    <col min="4629" max="4629" width="13.33203125" customWidth="1"/>
    <col min="4630" max="4630" width="21.58203125" customWidth="1"/>
    <col min="4631" max="4631" width="16.08203125" customWidth="1"/>
    <col min="4632" max="4633" width="14" customWidth="1"/>
    <col min="4634" max="4634" width="9.58203125" customWidth="1"/>
    <col min="4635" max="4635" width="10.75" customWidth="1"/>
    <col min="4636" max="4636" width="9.58203125" customWidth="1"/>
    <col min="4637" max="4637" width="9.25" customWidth="1"/>
    <col min="4638" max="4638" width="9.33203125" customWidth="1"/>
    <col min="4639" max="4640" width="13.25" customWidth="1"/>
    <col min="4641" max="4641" width="8.25" bestFit="1" customWidth="1"/>
    <col min="4642" max="4642" width="10" customWidth="1"/>
    <col min="4644" max="4644" width="9.75" customWidth="1"/>
    <col min="4645" max="4645" width="9.33203125" customWidth="1"/>
    <col min="4646" max="4646" width="10.5" bestFit="1" customWidth="1"/>
    <col min="4653" max="4653" width="9.58203125" customWidth="1"/>
    <col min="4654" max="4654" width="14.75" customWidth="1"/>
    <col min="4655" max="4655" width="11.33203125" customWidth="1"/>
    <col min="4656" max="4656" width="9.83203125" customWidth="1"/>
    <col min="4657" max="4657" width="10.75" customWidth="1"/>
    <col min="4658" max="4658" width="10.08203125" bestFit="1" customWidth="1"/>
    <col min="4659" max="4659" width="12.5" customWidth="1"/>
    <col min="4660" max="4660" width="10.58203125" customWidth="1"/>
    <col min="4663" max="4663" width="15.75" customWidth="1"/>
    <col min="4664" max="4664" width="10" customWidth="1"/>
    <col min="4667" max="4667" width="8.83203125" customWidth="1"/>
    <col min="4668" max="4668" width="9.58203125" bestFit="1" customWidth="1"/>
    <col min="4669" max="4669" width="9.33203125" customWidth="1"/>
    <col min="4671" max="4671" width="7.25" customWidth="1"/>
    <col min="4672" max="4672" width="0" hidden="1" customWidth="1"/>
    <col min="4674" max="4674" width="9.33203125" customWidth="1"/>
    <col min="4675" max="4675" width="10.33203125" customWidth="1"/>
    <col min="4676" max="4676" width="15.83203125" customWidth="1"/>
    <col min="4678" max="4678" width="6.75" customWidth="1"/>
    <col min="4865" max="4865" width="0.33203125" customWidth="1"/>
    <col min="4866" max="4866" width="17.25" customWidth="1"/>
    <col min="4867" max="4867" width="13.33203125" customWidth="1"/>
    <col min="4868" max="4868" width="9.58203125" customWidth="1"/>
    <col min="4869" max="4869" width="13.33203125" customWidth="1"/>
    <col min="4870" max="4870" width="8.58203125" customWidth="1"/>
    <col min="4871" max="4871" width="15.58203125" customWidth="1"/>
    <col min="4872" max="4872" width="16.08203125" customWidth="1"/>
    <col min="4873" max="4873" width="12.5" customWidth="1"/>
    <col min="4874" max="4874" width="12.08203125" customWidth="1"/>
    <col min="4875" max="4875" width="18.08203125" customWidth="1"/>
    <col min="4876" max="4876" width="16.25" customWidth="1"/>
    <col min="4877" max="4878" width="12.83203125" customWidth="1"/>
    <col min="4879" max="4879" width="11.33203125" customWidth="1"/>
    <col min="4880" max="4880" width="11.75" customWidth="1"/>
    <col min="4881" max="4881" width="10.83203125" customWidth="1"/>
    <col min="4882" max="4882" width="16" customWidth="1"/>
    <col min="4883" max="4883" width="14.08203125" customWidth="1"/>
    <col min="4884" max="4884" width="11.75" customWidth="1"/>
    <col min="4885" max="4885" width="13.33203125" customWidth="1"/>
    <col min="4886" max="4886" width="21.58203125" customWidth="1"/>
    <col min="4887" max="4887" width="16.08203125" customWidth="1"/>
    <col min="4888" max="4889" width="14" customWidth="1"/>
    <col min="4890" max="4890" width="9.58203125" customWidth="1"/>
    <col min="4891" max="4891" width="10.75" customWidth="1"/>
    <col min="4892" max="4892" width="9.58203125" customWidth="1"/>
    <col min="4893" max="4893" width="9.25" customWidth="1"/>
    <col min="4894" max="4894" width="9.33203125" customWidth="1"/>
    <col min="4895" max="4896" width="13.25" customWidth="1"/>
    <col min="4897" max="4897" width="8.25" bestFit="1" customWidth="1"/>
    <col min="4898" max="4898" width="10" customWidth="1"/>
    <col min="4900" max="4900" width="9.75" customWidth="1"/>
    <col min="4901" max="4901" width="9.33203125" customWidth="1"/>
    <col min="4902" max="4902" width="10.5" bestFit="1" customWidth="1"/>
    <col min="4909" max="4909" width="9.58203125" customWidth="1"/>
    <col min="4910" max="4910" width="14.75" customWidth="1"/>
    <col min="4911" max="4911" width="11.33203125" customWidth="1"/>
    <col min="4912" max="4912" width="9.83203125" customWidth="1"/>
    <col min="4913" max="4913" width="10.75" customWidth="1"/>
    <col min="4914" max="4914" width="10.08203125" bestFit="1" customWidth="1"/>
    <col min="4915" max="4915" width="12.5" customWidth="1"/>
    <col min="4916" max="4916" width="10.58203125" customWidth="1"/>
    <col min="4919" max="4919" width="15.75" customWidth="1"/>
    <col min="4920" max="4920" width="10" customWidth="1"/>
    <col min="4923" max="4923" width="8.83203125" customWidth="1"/>
    <col min="4924" max="4924" width="9.58203125" bestFit="1" customWidth="1"/>
    <col min="4925" max="4925" width="9.33203125" customWidth="1"/>
    <col min="4927" max="4927" width="7.25" customWidth="1"/>
    <col min="4928" max="4928" width="0" hidden="1" customWidth="1"/>
    <col min="4930" max="4930" width="9.33203125" customWidth="1"/>
    <col min="4931" max="4931" width="10.33203125" customWidth="1"/>
    <col min="4932" max="4932" width="15.83203125" customWidth="1"/>
    <col min="4934" max="4934" width="6.75" customWidth="1"/>
    <col min="5121" max="5121" width="0.33203125" customWidth="1"/>
    <col min="5122" max="5122" width="17.25" customWidth="1"/>
    <col min="5123" max="5123" width="13.33203125" customWidth="1"/>
    <col min="5124" max="5124" width="9.58203125" customWidth="1"/>
    <col min="5125" max="5125" width="13.33203125" customWidth="1"/>
    <col min="5126" max="5126" width="8.58203125" customWidth="1"/>
    <col min="5127" max="5127" width="15.58203125" customWidth="1"/>
    <col min="5128" max="5128" width="16.08203125" customWidth="1"/>
    <col min="5129" max="5129" width="12.5" customWidth="1"/>
    <col min="5130" max="5130" width="12.08203125" customWidth="1"/>
    <col min="5131" max="5131" width="18.08203125" customWidth="1"/>
    <col min="5132" max="5132" width="16.25" customWidth="1"/>
    <col min="5133" max="5134" width="12.83203125" customWidth="1"/>
    <col min="5135" max="5135" width="11.33203125" customWidth="1"/>
    <col min="5136" max="5136" width="11.75" customWidth="1"/>
    <col min="5137" max="5137" width="10.83203125" customWidth="1"/>
    <col min="5138" max="5138" width="16" customWidth="1"/>
    <col min="5139" max="5139" width="14.08203125" customWidth="1"/>
    <col min="5140" max="5140" width="11.75" customWidth="1"/>
    <col min="5141" max="5141" width="13.33203125" customWidth="1"/>
    <col min="5142" max="5142" width="21.58203125" customWidth="1"/>
    <col min="5143" max="5143" width="16.08203125" customWidth="1"/>
    <col min="5144" max="5145" width="14" customWidth="1"/>
    <col min="5146" max="5146" width="9.58203125" customWidth="1"/>
    <col min="5147" max="5147" width="10.75" customWidth="1"/>
    <col min="5148" max="5148" width="9.58203125" customWidth="1"/>
    <col min="5149" max="5149" width="9.25" customWidth="1"/>
    <col min="5150" max="5150" width="9.33203125" customWidth="1"/>
    <col min="5151" max="5152" width="13.25" customWidth="1"/>
    <col min="5153" max="5153" width="8.25" bestFit="1" customWidth="1"/>
    <col min="5154" max="5154" width="10" customWidth="1"/>
    <col min="5156" max="5156" width="9.75" customWidth="1"/>
    <col min="5157" max="5157" width="9.33203125" customWidth="1"/>
    <col min="5158" max="5158" width="10.5" bestFit="1" customWidth="1"/>
    <col min="5165" max="5165" width="9.58203125" customWidth="1"/>
    <col min="5166" max="5166" width="14.75" customWidth="1"/>
    <col min="5167" max="5167" width="11.33203125" customWidth="1"/>
    <col min="5168" max="5168" width="9.83203125" customWidth="1"/>
    <col min="5169" max="5169" width="10.75" customWidth="1"/>
    <col min="5170" max="5170" width="10.08203125" bestFit="1" customWidth="1"/>
    <col min="5171" max="5171" width="12.5" customWidth="1"/>
    <col min="5172" max="5172" width="10.58203125" customWidth="1"/>
    <col min="5175" max="5175" width="15.75" customWidth="1"/>
    <col min="5176" max="5176" width="10" customWidth="1"/>
    <col min="5179" max="5179" width="8.83203125" customWidth="1"/>
    <col min="5180" max="5180" width="9.58203125" bestFit="1" customWidth="1"/>
    <col min="5181" max="5181" width="9.33203125" customWidth="1"/>
    <col min="5183" max="5183" width="7.25" customWidth="1"/>
    <col min="5184" max="5184" width="0" hidden="1" customWidth="1"/>
    <col min="5186" max="5186" width="9.33203125" customWidth="1"/>
    <col min="5187" max="5187" width="10.33203125" customWidth="1"/>
    <col min="5188" max="5188" width="15.83203125" customWidth="1"/>
    <col min="5190" max="5190" width="6.75" customWidth="1"/>
    <col min="5377" max="5377" width="0.33203125" customWidth="1"/>
    <col min="5378" max="5378" width="17.25" customWidth="1"/>
    <col min="5379" max="5379" width="13.33203125" customWidth="1"/>
    <col min="5380" max="5380" width="9.58203125" customWidth="1"/>
    <col min="5381" max="5381" width="13.33203125" customWidth="1"/>
    <col min="5382" max="5382" width="8.58203125" customWidth="1"/>
    <col min="5383" max="5383" width="15.58203125" customWidth="1"/>
    <col min="5384" max="5384" width="16.08203125" customWidth="1"/>
    <col min="5385" max="5385" width="12.5" customWidth="1"/>
    <col min="5386" max="5386" width="12.08203125" customWidth="1"/>
    <col min="5387" max="5387" width="18.08203125" customWidth="1"/>
    <col min="5388" max="5388" width="16.25" customWidth="1"/>
    <col min="5389" max="5390" width="12.83203125" customWidth="1"/>
    <col min="5391" max="5391" width="11.33203125" customWidth="1"/>
    <col min="5392" max="5392" width="11.75" customWidth="1"/>
    <col min="5393" max="5393" width="10.83203125" customWidth="1"/>
    <col min="5394" max="5394" width="16" customWidth="1"/>
    <col min="5395" max="5395" width="14.08203125" customWidth="1"/>
    <col min="5396" max="5396" width="11.75" customWidth="1"/>
    <col min="5397" max="5397" width="13.33203125" customWidth="1"/>
    <col min="5398" max="5398" width="21.58203125" customWidth="1"/>
    <col min="5399" max="5399" width="16.08203125" customWidth="1"/>
    <col min="5400" max="5401" width="14" customWidth="1"/>
    <col min="5402" max="5402" width="9.58203125" customWidth="1"/>
    <col min="5403" max="5403" width="10.75" customWidth="1"/>
    <col min="5404" max="5404" width="9.58203125" customWidth="1"/>
    <col min="5405" max="5405" width="9.25" customWidth="1"/>
    <col min="5406" max="5406" width="9.33203125" customWidth="1"/>
    <col min="5407" max="5408" width="13.25" customWidth="1"/>
    <col min="5409" max="5409" width="8.25" bestFit="1" customWidth="1"/>
    <col min="5410" max="5410" width="10" customWidth="1"/>
    <col min="5412" max="5412" width="9.75" customWidth="1"/>
    <col min="5413" max="5413" width="9.33203125" customWidth="1"/>
    <col min="5414" max="5414" width="10.5" bestFit="1" customWidth="1"/>
    <col min="5421" max="5421" width="9.58203125" customWidth="1"/>
    <col min="5422" max="5422" width="14.75" customWidth="1"/>
    <col min="5423" max="5423" width="11.33203125" customWidth="1"/>
    <col min="5424" max="5424" width="9.83203125" customWidth="1"/>
    <col min="5425" max="5425" width="10.75" customWidth="1"/>
    <col min="5426" max="5426" width="10.08203125" bestFit="1" customWidth="1"/>
    <col min="5427" max="5427" width="12.5" customWidth="1"/>
    <col min="5428" max="5428" width="10.58203125" customWidth="1"/>
    <col min="5431" max="5431" width="15.75" customWidth="1"/>
    <col min="5432" max="5432" width="10" customWidth="1"/>
    <col min="5435" max="5435" width="8.83203125" customWidth="1"/>
    <col min="5436" max="5436" width="9.58203125" bestFit="1" customWidth="1"/>
    <col min="5437" max="5437" width="9.33203125" customWidth="1"/>
    <col min="5439" max="5439" width="7.25" customWidth="1"/>
    <col min="5440" max="5440" width="0" hidden="1" customWidth="1"/>
    <col min="5442" max="5442" width="9.33203125" customWidth="1"/>
    <col min="5443" max="5443" width="10.33203125" customWidth="1"/>
    <col min="5444" max="5444" width="15.83203125" customWidth="1"/>
    <col min="5446" max="5446" width="6.75" customWidth="1"/>
    <col min="5633" max="5633" width="0.33203125" customWidth="1"/>
    <col min="5634" max="5634" width="17.25" customWidth="1"/>
    <col min="5635" max="5635" width="13.33203125" customWidth="1"/>
    <col min="5636" max="5636" width="9.58203125" customWidth="1"/>
    <col min="5637" max="5637" width="13.33203125" customWidth="1"/>
    <col min="5638" max="5638" width="8.58203125" customWidth="1"/>
    <col min="5639" max="5639" width="15.58203125" customWidth="1"/>
    <col min="5640" max="5640" width="16.08203125" customWidth="1"/>
    <col min="5641" max="5641" width="12.5" customWidth="1"/>
    <col min="5642" max="5642" width="12.08203125" customWidth="1"/>
    <col min="5643" max="5643" width="18.08203125" customWidth="1"/>
    <col min="5644" max="5644" width="16.25" customWidth="1"/>
    <col min="5645" max="5646" width="12.83203125" customWidth="1"/>
    <col min="5647" max="5647" width="11.33203125" customWidth="1"/>
    <col min="5648" max="5648" width="11.75" customWidth="1"/>
    <col min="5649" max="5649" width="10.83203125" customWidth="1"/>
    <col min="5650" max="5650" width="16" customWidth="1"/>
    <col min="5651" max="5651" width="14.08203125" customWidth="1"/>
    <col min="5652" max="5652" width="11.75" customWidth="1"/>
    <col min="5653" max="5653" width="13.33203125" customWidth="1"/>
    <col min="5654" max="5654" width="21.58203125" customWidth="1"/>
    <col min="5655" max="5655" width="16.08203125" customWidth="1"/>
    <col min="5656" max="5657" width="14" customWidth="1"/>
    <col min="5658" max="5658" width="9.58203125" customWidth="1"/>
    <col min="5659" max="5659" width="10.75" customWidth="1"/>
    <col min="5660" max="5660" width="9.58203125" customWidth="1"/>
    <col min="5661" max="5661" width="9.25" customWidth="1"/>
    <col min="5662" max="5662" width="9.33203125" customWidth="1"/>
    <col min="5663" max="5664" width="13.25" customWidth="1"/>
    <col min="5665" max="5665" width="8.25" bestFit="1" customWidth="1"/>
    <col min="5666" max="5666" width="10" customWidth="1"/>
    <col min="5668" max="5668" width="9.75" customWidth="1"/>
    <col min="5669" max="5669" width="9.33203125" customWidth="1"/>
    <col min="5670" max="5670" width="10.5" bestFit="1" customWidth="1"/>
    <col min="5677" max="5677" width="9.58203125" customWidth="1"/>
    <col min="5678" max="5678" width="14.75" customWidth="1"/>
    <col min="5679" max="5679" width="11.33203125" customWidth="1"/>
    <col min="5680" max="5680" width="9.83203125" customWidth="1"/>
    <col min="5681" max="5681" width="10.75" customWidth="1"/>
    <col min="5682" max="5682" width="10.08203125" bestFit="1" customWidth="1"/>
    <col min="5683" max="5683" width="12.5" customWidth="1"/>
    <col min="5684" max="5684" width="10.58203125" customWidth="1"/>
    <col min="5687" max="5687" width="15.75" customWidth="1"/>
    <col min="5688" max="5688" width="10" customWidth="1"/>
    <col min="5691" max="5691" width="8.83203125" customWidth="1"/>
    <col min="5692" max="5692" width="9.58203125" bestFit="1" customWidth="1"/>
    <col min="5693" max="5693" width="9.33203125" customWidth="1"/>
    <col min="5695" max="5695" width="7.25" customWidth="1"/>
    <col min="5696" max="5696" width="0" hidden="1" customWidth="1"/>
    <col min="5698" max="5698" width="9.33203125" customWidth="1"/>
    <col min="5699" max="5699" width="10.33203125" customWidth="1"/>
    <col min="5700" max="5700" width="15.83203125" customWidth="1"/>
    <col min="5702" max="5702" width="6.75" customWidth="1"/>
    <col min="5889" max="5889" width="0.33203125" customWidth="1"/>
    <col min="5890" max="5890" width="17.25" customWidth="1"/>
    <col min="5891" max="5891" width="13.33203125" customWidth="1"/>
    <col min="5892" max="5892" width="9.58203125" customWidth="1"/>
    <col min="5893" max="5893" width="13.33203125" customWidth="1"/>
    <col min="5894" max="5894" width="8.58203125" customWidth="1"/>
    <col min="5895" max="5895" width="15.58203125" customWidth="1"/>
    <col min="5896" max="5896" width="16.08203125" customWidth="1"/>
    <col min="5897" max="5897" width="12.5" customWidth="1"/>
    <col min="5898" max="5898" width="12.08203125" customWidth="1"/>
    <col min="5899" max="5899" width="18.08203125" customWidth="1"/>
    <col min="5900" max="5900" width="16.25" customWidth="1"/>
    <col min="5901" max="5902" width="12.83203125" customWidth="1"/>
    <col min="5903" max="5903" width="11.33203125" customWidth="1"/>
    <col min="5904" max="5904" width="11.75" customWidth="1"/>
    <col min="5905" max="5905" width="10.83203125" customWidth="1"/>
    <col min="5906" max="5906" width="16" customWidth="1"/>
    <col min="5907" max="5907" width="14.08203125" customWidth="1"/>
    <col min="5908" max="5908" width="11.75" customWidth="1"/>
    <col min="5909" max="5909" width="13.33203125" customWidth="1"/>
    <col min="5910" max="5910" width="21.58203125" customWidth="1"/>
    <col min="5911" max="5911" width="16.08203125" customWidth="1"/>
    <col min="5912" max="5913" width="14" customWidth="1"/>
    <col min="5914" max="5914" width="9.58203125" customWidth="1"/>
    <col min="5915" max="5915" width="10.75" customWidth="1"/>
    <col min="5916" max="5916" width="9.58203125" customWidth="1"/>
    <col min="5917" max="5917" width="9.25" customWidth="1"/>
    <col min="5918" max="5918" width="9.33203125" customWidth="1"/>
    <col min="5919" max="5920" width="13.25" customWidth="1"/>
    <col min="5921" max="5921" width="8.25" bestFit="1" customWidth="1"/>
    <col min="5922" max="5922" width="10" customWidth="1"/>
    <col min="5924" max="5924" width="9.75" customWidth="1"/>
    <col min="5925" max="5925" width="9.33203125" customWidth="1"/>
    <col min="5926" max="5926" width="10.5" bestFit="1" customWidth="1"/>
    <col min="5933" max="5933" width="9.58203125" customWidth="1"/>
    <col min="5934" max="5934" width="14.75" customWidth="1"/>
    <col min="5935" max="5935" width="11.33203125" customWidth="1"/>
    <col min="5936" max="5936" width="9.83203125" customWidth="1"/>
    <col min="5937" max="5937" width="10.75" customWidth="1"/>
    <col min="5938" max="5938" width="10.08203125" bestFit="1" customWidth="1"/>
    <col min="5939" max="5939" width="12.5" customWidth="1"/>
    <col min="5940" max="5940" width="10.58203125" customWidth="1"/>
    <col min="5943" max="5943" width="15.75" customWidth="1"/>
    <col min="5944" max="5944" width="10" customWidth="1"/>
    <col min="5947" max="5947" width="8.83203125" customWidth="1"/>
    <col min="5948" max="5948" width="9.58203125" bestFit="1" customWidth="1"/>
    <col min="5949" max="5949" width="9.33203125" customWidth="1"/>
    <col min="5951" max="5951" width="7.25" customWidth="1"/>
    <col min="5952" max="5952" width="0" hidden="1" customWidth="1"/>
    <col min="5954" max="5954" width="9.33203125" customWidth="1"/>
    <col min="5955" max="5955" width="10.33203125" customWidth="1"/>
    <col min="5956" max="5956" width="15.83203125" customWidth="1"/>
    <col min="5958" max="5958" width="6.75" customWidth="1"/>
    <col min="6145" max="6145" width="0.33203125" customWidth="1"/>
    <col min="6146" max="6146" width="17.25" customWidth="1"/>
    <col min="6147" max="6147" width="13.33203125" customWidth="1"/>
    <col min="6148" max="6148" width="9.58203125" customWidth="1"/>
    <col min="6149" max="6149" width="13.33203125" customWidth="1"/>
    <col min="6150" max="6150" width="8.58203125" customWidth="1"/>
    <col min="6151" max="6151" width="15.58203125" customWidth="1"/>
    <col min="6152" max="6152" width="16.08203125" customWidth="1"/>
    <col min="6153" max="6153" width="12.5" customWidth="1"/>
    <col min="6154" max="6154" width="12.08203125" customWidth="1"/>
    <col min="6155" max="6155" width="18.08203125" customWidth="1"/>
    <col min="6156" max="6156" width="16.25" customWidth="1"/>
    <col min="6157" max="6158" width="12.83203125" customWidth="1"/>
    <col min="6159" max="6159" width="11.33203125" customWidth="1"/>
    <col min="6160" max="6160" width="11.75" customWidth="1"/>
    <col min="6161" max="6161" width="10.83203125" customWidth="1"/>
    <col min="6162" max="6162" width="16" customWidth="1"/>
    <col min="6163" max="6163" width="14.08203125" customWidth="1"/>
    <col min="6164" max="6164" width="11.75" customWidth="1"/>
    <col min="6165" max="6165" width="13.33203125" customWidth="1"/>
    <col min="6166" max="6166" width="21.58203125" customWidth="1"/>
    <col min="6167" max="6167" width="16.08203125" customWidth="1"/>
    <col min="6168" max="6169" width="14" customWidth="1"/>
    <col min="6170" max="6170" width="9.58203125" customWidth="1"/>
    <col min="6171" max="6171" width="10.75" customWidth="1"/>
    <col min="6172" max="6172" width="9.58203125" customWidth="1"/>
    <col min="6173" max="6173" width="9.25" customWidth="1"/>
    <col min="6174" max="6174" width="9.33203125" customWidth="1"/>
    <col min="6175" max="6176" width="13.25" customWidth="1"/>
    <col min="6177" max="6177" width="8.25" bestFit="1" customWidth="1"/>
    <col min="6178" max="6178" width="10" customWidth="1"/>
    <col min="6180" max="6180" width="9.75" customWidth="1"/>
    <col min="6181" max="6181" width="9.33203125" customWidth="1"/>
    <col min="6182" max="6182" width="10.5" bestFit="1" customWidth="1"/>
    <col min="6189" max="6189" width="9.58203125" customWidth="1"/>
    <col min="6190" max="6190" width="14.75" customWidth="1"/>
    <col min="6191" max="6191" width="11.33203125" customWidth="1"/>
    <col min="6192" max="6192" width="9.83203125" customWidth="1"/>
    <col min="6193" max="6193" width="10.75" customWidth="1"/>
    <col min="6194" max="6194" width="10.08203125" bestFit="1" customWidth="1"/>
    <col min="6195" max="6195" width="12.5" customWidth="1"/>
    <col min="6196" max="6196" width="10.58203125" customWidth="1"/>
    <col min="6199" max="6199" width="15.75" customWidth="1"/>
    <col min="6200" max="6200" width="10" customWidth="1"/>
    <col min="6203" max="6203" width="8.83203125" customWidth="1"/>
    <col min="6204" max="6204" width="9.58203125" bestFit="1" customWidth="1"/>
    <col min="6205" max="6205" width="9.33203125" customWidth="1"/>
    <col min="6207" max="6207" width="7.25" customWidth="1"/>
    <col min="6208" max="6208" width="0" hidden="1" customWidth="1"/>
    <col min="6210" max="6210" width="9.33203125" customWidth="1"/>
    <col min="6211" max="6211" width="10.33203125" customWidth="1"/>
    <col min="6212" max="6212" width="15.83203125" customWidth="1"/>
    <col min="6214" max="6214" width="6.75" customWidth="1"/>
    <col min="6401" max="6401" width="0.33203125" customWidth="1"/>
    <col min="6402" max="6402" width="17.25" customWidth="1"/>
    <col min="6403" max="6403" width="13.33203125" customWidth="1"/>
    <col min="6404" max="6404" width="9.58203125" customWidth="1"/>
    <col min="6405" max="6405" width="13.33203125" customWidth="1"/>
    <col min="6406" max="6406" width="8.58203125" customWidth="1"/>
    <col min="6407" max="6407" width="15.58203125" customWidth="1"/>
    <col min="6408" max="6408" width="16.08203125" customWidth="1"/>
    <col min="6409" max="6409" width="12.5" customWidth="1"/>
    <col min="6410" max="6410" width="12.08203125" customWidth="1"/>
    <col min="6411" max="6411" width="18.08203125" customWidth="1"/>
    <col min="6412" max="6412" width="16.25" customWidth="1"/>
    <col min="6413" max="6414" width="12.83203125" customWidth="1"/>
    <col min="6415" max="6415" width="11.33203125" customWidth="1"/>
    <col min="6416" max="6416" width="11.75" customWidth="1"/>
    <col min="6417" max="6417" width="10.83203125" customWidth="1"/>
    <col min="6418" max="6418" width="16" customWidth="1"/>
    <col min="6419" max="6419" width="14.08203125" customWidth="1"/>
    <col min="6420" max="6420" width="11.75" customWidth="1"/>
    <col min="6421" max="6421" width="13.33203125" customWidth="1"/>
    <col min="6422" max="6422" width="21.58203125" customWidth="1"/>
    <col min="6423" max="6423" width="16.08203125" customWidth="1"/>
    <col min="6424" max="6425" width="14" customWidth="1"/>
    <col min="6426" max="6426" width="9.58203125" customWidth="1"/>
    <col min="6427" max="6427" width="10.75" customWidth="1"/>
    <col min="6428" max="6428" width="9.58203125" customWidth="1"/>
    <col min="6429" max="6429" width="9.25" customWidth="1"/>
    <col min="6430" max="6430" width="9.33203125" customWidth="1"/>
    <col min="6431" max="6432" width="13.25" customWidth="1"/>
    <col min="6433" max="6433" width="8.25" bestFit="1" customWidth="1"/>
    <col min="6434" max="6434" width="10" customWidth="1"/>
    <col min="6436" max="6436" width="9.75" customWidth="1"/>
    <col min="6437" max="6437" width="9.33203125" customWidth="1"/>
    <col min="6438" max="6438" width="10.5" bestFit="1" customWidth="1"/>
    <col min="6445" max="6445" width="9.58203125" customWidth="1"/>
    <col min="6446" max="6446" width="14.75" customWidth="1"/>
    <col min="6447" max="6447" width="11.33203125" customWidth="1"/>
    <col min="6448" max="6448" width="9.83203125" customWidth="1"/>
    <col min="6449" max="6449" width="10.75" customWidth="1"/>
    <col min="6450" max="6450" width="10.08203125" bestFit="1" customWidth="1"/>
    <col min="6451" max="6451" width="12.5" customWidth="1"/>
    <col min="6452" max="6452" width="10.58203125" customWidth="1"/>
    <col min="6455" max="6455" width="15.75" customWidth="1"/>
    <col min="6456" max="6456" width="10" customWidth="1"/>
    <col min="6459" max="6459" width="8.83203125" customWidth="1"/>
    <col min="6460" max="6460" width="9.58203125" bestFit="1" customWidth="1"/>
    <col min="6461" max="6461" width="9.33203125" customWidth="1"/>
    <col min="6463" max="6463" width="7.25" customWidth="1"/>
    <col min="6464" max="6464" width="0" hidden="1" customWidth="1"/>
    <col min="6466" max="6466" width="9.33203125" customWidth="1"/>
    <col min="6467" max="6467" width="10.33203125" customWidth="1"/>
    <col min="6468" max="6468" width="15.83203125" customWidth="1"/>
    <col min="6470" max="6470" width="6.75" customWidth="1"/>
    <col min="6657" max="6657" width="0.33203125" customWidth="1"/>
    <col min="6658" max="6658" width="17.25" customWidth="1"/>
    <col min="6659" max="6659" width="13.33203125" customWidth="1"/>
    <col min="6660" max="6660" width="9.58203125" customWidth="1"/>
    <col min="6661" max="6661" width="13.33203125" customWidth="1"/>
    <col min="6662" max="6662" width="8.58203125" customWidth="1"/>
    <col min="6663" max="6663" width="15.58203125" customWidth="1"/>
    <col min="6664" max="6664" width="16.08203125" customWidth="1"/>
    <col min="6665" max="6665" width="12.5" customWidth="1"/>
    <col min="6666" max="6666" width="12.08203125" customWidth="1"/>
    <col min="6667" max="6667" width="18.08203125" customWidth="1"/>
    <col min="6668" max="6668" width="16.25" customWidth="1"/>
    <col min="6669" max="6670" width="12.83203125" customWidth="1"/>
    <col min="6671" max="6671" width="11.33203125" customWidth="1"/>
    <col min="6672" max="6672" width="11.75" customWidth="1"/>
    <col min="6673" max="6673" width="10.83203125" customWidth="1"/>
    <col min="6674" max="6674" width="16" customWidth="1"/>
    <col min="6675" max="6675" width="14.08203125" customWidth="1"/>
    <col min="6676" max="6676" width="11.75" customWidth="1"/>
    <col min="6677" max="6677" width="13.33203125" customWidth="1"/>
    <col min="6678" max="6678" width="21.58203125" customWidth="1"/>
    <col min="6679" max="6679" width="16.08203125" customWidth="1"/>
    <col min="6680" max="6681" width="14" customWidth="1"/>
    <col min="6682" max="6682" width="9.58203125" customWidth="1"/>
    <col min="6683" max="6683" width="10.75" customWidth="1"/>
    <col min="6684" max="6684" width="9.58203125" customWidth="1"/>
    <col min="6685" max="6685" width="9.25" customWidth="1"/>
    <col min="6686" max="6686" width="9.33203125" customWidth="1"/>
    <col min="6687" max="6688" width="13.25" customWidth="1"/>
    <col min="6689" max="6689" width="8.25" bestFit="1" customWidth="1"/>
    <col min="6690" max="6690" width="10" customWidth="1"/>
    <col min="6692" max="6692" width="9.75" customWidth="1"/>
    <col min="6693" max="6693" width="9.33203125" customWidth="1"/>
    <col min="6694" max="6694" width="10.5" bestFit="1" customWidth="1"/>
    <col min="6701" max="6701" width="9.58203125" customWidth="1"/>
    <col min="6702" max="6702" width="14.75" customWidth="1"/>
    <col min="6703" max="6703" width="11.33203125" customWidth="1"/>
    <col min="6704" max="6704" width="9.83203125" customWidth="1"/>
    <col min="6705" max="6705" width="10.75" customWidth="1"/>
    <col min="6706" max="6706" width="10.08203125" bestFit="1" customWidth="1"/>
    <col min="6707" max="6707" width="12.5" customWidth="1"/>
    <col min="6708" max="6708" width="10.58203125" customWidth="1"/>
    <col min="6711" max="6711" width="15.75" customWidth="1"/>
    <col min="6712" max="6712" width="10" customWidth="1"/>
    <col min="6715" max="6715" width="8.83203125" customWidth="1"/>
    <col min="6716" max="6716" width="9.58203125" bestFit="1" customWidth="1"/>
    <col min="6717" max="6717" width="9.33203125" customWidth="1"/>
    <col min="6719" max="6719" width="7.25" customWidth="1"/>
    <col min="6720" max="6720" width="0" hidden="1" customWidth="1"/>
    <col min="6722" max="6722" width="9.33203125" customWidth="1"/>
    <col min="6723" max="6723" width="10.33203125" customWidth="1"/>
    <col min="6724" max="6724" width="15.83203125" customWidth="1"/>
    <col min="6726" max="6726" width="6.75" customWidth="1"/>
    <col min="6913" max="6913" width="0.33203125" customWidth="1"/>
    <col min="6914" max="6914" width="17.25" customWidth="1"/>
    <col min="6915" max="6915" width="13.33203125" customWidth="1"/>
    <col min="6916" max="6916" width="9.58203125" customWidth="1"/>
    <col min="6917" max="6917" width="13.33203125" customWidth="1"/>
    <col min="6918" max="6918" width="8.58203125" customWidth="1"/>
    <col min="6919" max="6919" width="15.58203125" customWidth="1"/>
    <col min="6920" max="6920" width="16.08203125" customWidth="1"/>
    <col min="6921" max="6921" width="12.5" customWidth="1"/>
    <col min="6922" max="6922" width="12.08203125" customWidth="1"/>
    <col min="6923" max="6923" width="18.08203125" customWidth="1"/>
    <col min="6924" max="6924" width="16.25" customWidth="1"/>
    <col min="6925" max="6926" width="12.83203125" customWidth="1"/>
    <col min="6927" max="6927" width="11.33203125" customWidth="1"/>
    <col min="6928" max="6928" width="11.75" customWidth="1"/>
    <col min="6929" max="6929" width="10.83203125" customWidth="1"/>
    <col min="6930" max="6930" width="16" customWidth="1"/>
    <col min="6931" max="6931" width="14.08203125" customWidth="1"/>
    <col min="6932" max="6932" width="11.75" customWidth="1"/>
    <col min="6933" max="6933" width="13.33203125" customWidth="1"/>
    <col min="6934" max="6934" width="21.58203125" customWidth="1"/>
    <col min="6935" max="6935" width="16.08203125" customWidth="1"/>
    <col min="6936" max="6937" width="14" customWidth="1"/>
    <col min="6938" max="6938" width="9.58203125" customWidth="1"/>
    <col min="6939" max="6939" width="10.75" customWidth="1"/>
    <col min="6940" max="6940" width="9.58203125" customWidth="1"/>
    <col min="6941" max="6941" width="9.25" customWidth="1"/>
    <col min="6942" max="6942" width="9.33203125" customWidth="1"/>
    <col min="6943" max="6944" width="13.25" customWidth="1"/>
    <col min="6945" max="6945" width="8.25" bestFit="1" customWidth="1"/>
    <col min="6946" max="6946" width="10" customWidth="1"/>
    <col min="6948" max="6948" width="9.75" customWidth="1"/>
    <col min="6949" max="6949" width="9.33203125" customWidth="1"/>
    <col min="6950" max="6950" width="10.5" bestFit="1" customWidth="1"/>
    <col min="6957" max="6957" width="9.58203125" customWidth="1"/>
    <col min="6958" max="6958" width="14.75" customWidth="1"/>
    <col min="6959" max="6959" width="11.33203125" customWidth="1"/>
    <col min="6960" max="6960" width="9.83203125" customWidth="1"/>
    <col min="6961" max="6961" width="10.75" customWidth="1"/>
    <col min="6962" max="6962" width="10.08203125" bestFit="1" customWidth="1"/>
    <col min="6963" max="6963" width="12.5" customWidth="1"/>
    <col min="6964" max="6964" width="10.58203125" customWidth="1"/>
    <col min="6967" max="6967" width="15.75" customWidth="1"/>
    <col min="6968" max="6968" width="10" customWidth="1"/>
    <col min="6971" max="6971" width="8.83203125" customWidth="1"/>
    <col min="6972" max="6972" width="9.58203125" bestFit="1" customWidth="1"/>
    <col min="6973" max="6973" width="9.33203125" customWidth="1"/>
    <col min="6975" max="6975" width="7.25" customWidth="1"/>
    <col min="6976" max="6976" width="0" hidden="1" customWidth="1"/>
    <col min="6978" max="6978" width="9.33203125" customWidth="1"/>
    <col min="6979" max="6979" width="10.33203125" customWidth="1"/>
    <col min="6980" max="6980" width="15.83203125" customWidth="1"/>
    <col min="6982" max="6982" width="6.75" customWidth="1"/>
    <col min="7169" max="7169" width="0.33203125" customWidth="1"/>
    <col min="7170" max="7170" width="17.25" customWidth="1"/>
    <col min="7171" max="7171" width="13.33203125" customWidth="1"/>
    <col min="7172" max="7172" width="9.58203125" customWidth="1"/>
    <col min="7173" max="7173" width="13.33203125" customWidth="1"/>
    <col min="7174" max="7174" width="8.58203125" customWidth="1"/>
    <col min="7175" max="7175" width="15.58203125" customWidth="1"/>
    <col min="7176" max="7176" width="16.08203125" customWidth="1"/>
    <col min="7177" max="7177" width="12.5" customWidth="1"/>
    <col min="7178" max="7178" width="12.08203125" customWidth="1"/>
    <col min="7179" max="7179" width="18.08203125" customWidth="1"/>
    <col min="7180" max="7180" width="16.25" customWidth="1"/>
    <col min="7181" max="7182" width="12.83203125" customWidth="1"/>
    <col min="7183" max="7183" width="11.33203125" customWidth="1"/>
    <col min="7184" max="7184" width="11.75" customWidth="1"/>
    <col min="7185" max="7185" width="10.83203125" customWidth="1"/>
    <col min="7186" max="7186" width="16" customWidth="1"/>
    <col min="7187" max="7187" width="14.08203125" customWidth="1"/>
    <col min="7188" max="7188" width="11.75" customWidth="1"/>
    <col min="7189" max="7189" width="13.33203125" customWidth="1"/>
    <col min="7190" max="7190" width="21.58203125" customWidth="1"/>
    <col min="7191" max="7191" width="16.08203125" customWidth="1"/>
    <col min="7192" max="7193" width="14" customWidth="1"/>
    <col min="7194" max="7194" width="9.58203125" customWidth="1"/>
    <col min="7195" max="7195" width="10.75" customWidth="1"/>
    <col min="7196" max="7196" width="9.58203125" customWidth="1"/>
    <col min="7197" max="7197" width="9.25" customWidth="1"/>
    <col min="7198" max="7198" width="9.33203125" customWidth="1"/>
    <col min="7199" max="7200" width="13.25" customWidth="1"/>
    <col min="7201" max="7201" width="8.25" bestFit="1" customWidth="1"/>
    <col min="7202" max="7202" width="10" customWidth="1"/>
    <col min="7204" max="7204" width="9.75" customWidth="1"/>
    <col min="7205" max="7205" width="9.33203125" customWidth="1"/>
    <col min="7206" max="7206" width="10.5" bestFit="1" customWidth="1"/>
    <col min="7213" max="7213" width="9.58203125" customWidth="1"/>
    <col min="7214" max="7214" width="14.75" customWidth="1"/>
    <col min="7215" max="7215" width="11.33203125" customWidth="1"/>
    <col min="7216" max="7216" width="9.83203125" customWidth="1"/>
    <col min="7217" max="7217" width="10.75" customWidth="1"/>
    <col min="7218" max="7218" width="10.08203125" bestFit="1" customWidth="1"/>
    <col min="7219" max="7219" width="12.5" customWidth="1"/>
    <col min="7220" max="7220" width="10.58203125" customWidth="1"/>
    <col min="7223" max="7223" width="15.75" customWidth="1"/>
    <col min="7224" max="7224" width="10" customWidth="1"/>
    <col min="7227" max="7227" width="8.83203125" customWidth="1"/>
    <col min="7228" max="7228" width="9.58203125" bestFit="1" customWidth="1"/>
    <col min="7229" max="7229" width="9.33203125" customWidth="1"/>
    <col min="7231" max="7231" width="7.25" customWidth="1"/>
    <col min="7232" max="7232" width="0" hidden="1" customWidth="1"/>
    <col min="7234" max="7234" width="9.33203125" customWidth="1"/>
    <col min="7235" max="7235" width="10.33203125" customWidth="1"/>
    <col min="7236" max="7236" width="15.83203125" customWidth="1"/>
    <col min="7238" max="7238" width="6.75" customWidth="1"/>
    <col min="7425" max="7425" width="0.33203125" customWidth="1"/>
    <col min="7426" max="7426" width="17.25" customWidth="1"/>
    <col min="7427" max="7427" width="13.33203125" customWidth="1"/>
    <col min="7428" max="7428" width="9.58203125" customWidth="1"/>
    <col min="7429" max="7429" width="13.33203125" customWidth="1"/>
    <col min="7430" max="7430" width="8.58203125" customWidth="1"/>
    <col min="7431" max="7431" width="15.58203125" customWidth="1"/>
    <col min="7432" max="7432" width="16.08203125" customWidth="1"/>
    <col min="7433" max="7433" width="12.5" customWidth="1"/>
    <col min="7434" max="7434" width="12.08203125" customWidth="1"/>
    <col min="7435" max="7435" width="18.08203125" customWidth="1"/>
    <col min="7436" max="7436" width="16.25" customWidth="1"/>
    <col min="7437" max="7438" width="12.83203125" customWidth="1"/>
    <col min="7439" max="7439" width="11.33203125" customWidth="1"/>
    <col min="7440" max="7440" width="11.75" customWidth="1"/>
    <col min="7441" max="7441" width="10.83203125" customWidth="1"/>
    <col min="7442" max="7442" width="16" customWidth="1"/>
    <col min="7443" max="7443" width="14.08203125" customWidth="1"/>
    <col min="7444" max="7444" width="11.75" customWidth="1"/>
    <col min="7445" max="7445" width="13.33203125" customWidth="1"/>
    <col min="7446" max="7446" width="21.58203125" customWidth="1"/>
    <col min="7447" max="7447" width="16.08203125" customWidth="1"/>
    <col min="7448" max="7449" width="14" customWidth="1"/>
    <col min="7450" max="7450" width="9.58203125" customWidth="1"/>
    <col min="7451" max="7451" width="10.75" customWidth="1"/>
    <col min="7452" max="7452" width="9.58203125" customWidth="1"/>
    <col min="7453" max="7453" width="9.25" customWidth="1"/>
    <col min="7454" max="7454" width="9.33203125" customWidth="1"/>
    <col min="7455" max="7456" width="13.25" customWidth="1"/>
    <col min="7457" max="7457" width="8.25" bestFit="1" customWidth="1"/>
    <col min="7458" max="7458" width="10" customWidth="1"/>
    <col min="7460" max="7460" width="9.75" customWidth="1"/>
    <col min="7461" max="7461" width="9.33203125" customWidth="1"/>
    <col min="7462" max="7462" width="10.5" bestFit="1" customWidth="1"/>
    <col min="7469" max="7469" width="9.58203125" customWidth="1"/>
    <col min="7470" max="7470" width="14.75" customWidth="1"/>
    <col min="7471" max="7471" width="11.33203125" customWidth="1"/>
    <col min="7472" max="7472" width="9.83203125" customWidth="1"/>
    <col min="7473" max="7473" width="10.75" customWidth="1"/>
    <col min="7474" max="7474" width="10.08203125" bestFit="1" customWidth="1"/>
    <col min="7475" max="7475" width="12.5" customWidth="1"/>
    <col min="7476" max="7476" width="10.58203125" customWidth="1"/>
    <col min="7479" max="7479" width="15.75" customWidth="1"/>
    <col min="7480" max="7480" width="10" customWidth="1"/>
    <col min="7483" max="7483" width="8.83203125" customWidth="1"/>
    <col min="7484" max="7484" width="9.58203125" bestFit="1" customWidth="1"/>
    <col min="7485" max="7485" width="9.33203125" customWidth="1"/>
    <col min="7487" max="7487" width="7.25" customWidth="1"/>
    <col min="7488" max="7488" width="0" hidden="1" customWidth="1"/>
    <col min="7490" max="7490" width="9.33203125" customWidth="1"/>
    <col min="7491" max="7491" width="10.33203125" customWidth="1"/>
    <col min="7492" max="7492" width="15.83203125" customWidth="1"/>
    <col min="7494" max="7494" width="6.75" customWidth="1"/>
    <col min="7681" max="7681" width="0.33203125" customWidth="1"/>
    <col min="7682" max="7682" width="17.25" customWidth="1"/>
    <col min="7683" max="7683" width="13.33203125" customWidth="1"/>
    <col min="7684" max="7684" width="9.58203125" customWidth="1"/>
    <col min="7685" max="7685" width="13.33203125" customWidth="1"/>
    <col min="7686" max="7686" width="8.58203125" customWidth="1"/>
    <col min="7687" max="7687" width="15.58203125" customWidth="1"/>
    <col min="7688" max="7688" width="16.08203125" customWidth="1"/>
    <col min="7689" max="7689" width="12.5" customWidth="1"/>
    <col min="7690" max="7690" width="12.08203125" customWidth="1"/>
    <col min="7691" max="7691" width="18.08203125" customWidth="1"/>
    <col min="7692" max="7692" width="16.25" customWidth="1"/>
    <col min="7693" max="7694" width="12.83203125" customWidth="1"/>
    <col min="7695" max="7695" width="11.33203125" customWidth="1"/>
    <col min="7696" max="7696" width="11.75" customWidth="1"/>
    <col min="7697" max="7697" width="10.83203125" customWidth="1"/>
    <col min="7698" max="7698" width="16" customWidth="1"/>
    <col min="7699" max="7699" width="14.08203125" customWidth="1"/>
    <col min="7700" max="7700" width="11.75" customWidth="1"/>
    <col min="7701" max="7701" width="13.33203125" customWidth="1"/>
    <col min="7702" max="7702" width="21.58203125" customWidth="1"/>
    <col min="7703" max="7703" width="16.08203125" customWidth="1"/>
    <col min="7704" max="7705" width="14" customWidth="1"/>
    <col min="7706" max="7706" width="9.58203125" customWidth="1"/>
    <col min="7707" max="7707" width="10.75" customWidth="1"/>
    <col min="7708" max="7708" width="9.58203125" customWidth="1"/>
    <col min="7709" max="7709" width="9.25" customWidth="1"/>
    <col min="7710" max="7710" width="9.33203125" customWidth="1"/>
    <col min="7711" max="7712" width="13.25" customWidth="1"/>
    <col min="7713" max="7713" width="8.25" bestFit="1" customWidth="1"/>
    <col min="7714" max="7714" width="10" customWidth="1"/>
    <col min="7716" max="7716" width="9.75" customWidth="1"/>
    <col min="7717" max="7717" width="9.33203125" customWidth="1"/>
    <col min="7718" max="7718" width="10.5" bestFit="1" customWidth="1"/>
    <col min="7725" max="7725" width="9.58203125" customWidth="1"/>
    <col min="7726" max="7726" width="14.75" customWidth="1"/>
    <col min="7727" max="7727" width="11.33203125" customWidth="1"/>
    <col min="7728" max="7728" width="9.83203125" customWidth="1"/>
    <col min="7729" max="7729" width="10.75" customWidth="1"/>
    <col min="7730" max="7730" width="10.08203125" bestFit="1" customWidth="1"/>
    <col min="7731" max="7731" width="12.5" customWidth="1"/>
    <col min="7732" max="7732" width="10.58203125" customWidth="1"/>
    <col min="7735" max="7735" width="15.75" customWidth="1"/>
    <col min="7736" max="7736" width="10" customWidth="1"/>
    <col min="7739" max="7739" width="8.83203125" customWidth="1"/>
    <col min="7740" max="7740" width="9.58203125" bestFit="1" customWidth="1"/>
    <col min="7741" max="7741" width="9.33203125" customWidth="1"/>
    <col min="7743" max="7743" width="7.25" customWidth="1"/>
    <col min="7744" max="7744" width="0" hidden="1" customWidth="1"/>
    <col min="7746" max="7746" width="9.33203125" customWidth="1"/>
    <col min="7747" max="7747" width="10.33203125" customWidth="1"/>
    <col min="7748" max="7748" width="15.83203125" customWidth="1"/>
    <col min="7750" max="7750" width="6.75" customWidth="1"/>
    <col min="7937" max="7937" width="0.33203125" customWidth="1"/>
    <col min="7938" max="7938" width="17.25" customWidth="1"/>
    <col min="7939" max="7939" width="13.33203125" customWidth="1"/>
    <col min="7940" max="7940" width="9.58203125" customWidth="1"/>
    <col min="7941" max="7941" width="13.33203125" customWidth="1"/>
    <col min="7942" max="7942" width="8.58203125" customWidth="1"/>
    <col min="7943" max="7943" width="15.58203125" customWidth="1"/>
    <col min="7944" max="7944" width="16.08203125" customWidth="1"/>
    <col min="7945" max="7945" width="12.5" customWidth="1"/>
    <col min="7946" max="7946" width="12.08203125" customWidth="1"/>
    <col min="7947" max="7947" width="18.08203125" customWidth="1"/>
    <col min="7948" max="7948" width="16.25" customWidth="1"/>
    <col min="7949" max="7950" width="12.83203125" customWidth="1"/>
    <col min="7951" max="7951" width="11.33203125" customWidth="1"/>
    <col min="7952" max="7952" width="11.75" customWidth="1"/>
    <col min="7953" max="7953" width="10.83203125" customWidth="1"/>
    <col min="7954" max="7954" width="16" customWidth="1"/>
    <col min="7955" max="7955" width="14.08203125" customWidth="1"/>
    <col min="7956" max="7956" width="11.75" customWidth="1"/>
    <col min="7957" max="7957" width="13.33203125" customWidth="1"/>
    <col min="7958" max="7958" width="21.58203125" customWidth="1"/>
    <col min="7959" max="7959" width="16.08203125" customWidth="1"/>
    <col min="7960" max="7961" width="14" customWidth="1"/>
    <col min="7962" max="7962" width="9.58203125" customWidth="1"/>
    <col min="7963" max="7963" width="10.75" customWidth="1"/>
    <col min="7964" max="7964" width="9.58203125" customWidth="1"/>
    <col min="7965" max="7965" width="9.25" customWidth="1"/>
    <col min="7966" max="7966" width="9.33203125" customWidth="1"/>
    <col min="7967" max="7968" width="13.25" customWidth="1"/>
    <col min="7969" max="7969" width="8.25" bestFit="1" customWidth="1"/>
    <col min="7970" max="7970" width="10" customWidth="1"/>
    <col min="7972" max="7972" width="9.75" customWidth="1"/>
    <col min="7973" max="7973" width="9.33203125" customWidth="1"/>
    <col min="7974" max="7974" width="10.5" bestFit="1" customWidth="1"/>
    <col min="7981" max="7981" width="9.58203125" customWidth="1"/>
    <col min="7982" max="7982" width="14.75" customWidth="1"/>
    <col min="7983" max="7983" width="11.33203125" customWidth="1"/>
    <col min="7984" max="7984" width="9.83203125" customWidth="1"/>
    <col min="7985" max="7985" width="10.75" customWidth="1"/>
    <col min="7986" max="7986" width="10.08203125" bestFit="1" customWidth="1"/>
    <col min="7987" max="7987" width="12.5" customWidth="1"/>
    <col min="7988" max="7988" width="10.58203125" customWidth="1"/>
    <col min="7991" max="7991" width="15.75" customWidth="1"/>
    <col min="7992" max="7992" width="10" customWidth="1"/>
    <col min="7995" max="7995" width="8.83203125" customWidth="1"/>
    <col min="7996" max="7996" width="9.58203125" bestFit="1" customWidth="1"/>
    <col min="7997" max="7997" width="9.33203125" customWidth="1"/>
    <col min="7999" max="7999" width="7.25" customWidth="1"/>
    <col min="8000" max="8000" width="0" hidden="1" customWidth="1"/>
    <col min="8002" max="8002" width="9.33203125" customWidth="1"/>
    <col min="8003" max="8003" width="10.33203125" customWidth="1"/>
    <col min="8004" max="8004" width="15.83203125" customWidth="1"/>
    <col min="8006" max="8006" width="6.75" customWidth="1"/>
    <col min="8193" max="8193" width="0.33203125" customWidth="1"/>
    <col min="8194" max="8194" width="17.25" customWidth="1"/>
    <col min="8195" max="8195" width="13.33203125" customWidth="1"/>
    <col min="8196" max="8196" width="9.58203125" customWidth="1"/>
    <col min="8197" max="8197" width="13.33203125" customWidth="1"/>
    <col min="8198" max="8198" width="8.58203125" customWidth="1"/>
    <col min="8199" max="8199" width="15.58203125" customWidth="1"/>
    <col min="8200" max="8200" width="16.08203125" customWidth="1"/>
    <col min="8201" max="8201" width="12.5" customWidth="1"/>
    <col min="8202" max="8202" width="12.08203125" customWidth="1"/>
    <col min="8203" max="8203" width="18.08203125" customWidth="1"/>
    <col min="8204" max="8204" width="16.25" customWidth="1"/>
    <col min="8205" max="8206" width="12.83203125" customWidth="1"/>
    <col min="8207" max="8207" width="11.33203125" customWidth="1"/>
    <col min="8208" max="8208" width="11.75" customWidth="1"/>
    <col min="8209" max="8209" width="10.83203125" customWidth="1"/>
    <col min="8210" max="8210" width="16" customWidth="1"/>
    <col min="8211" max="8211" width="14.08203125" customWidth="1"/>
    <col min="8212" max="8212" width="11.75" customWidth="1"/>
    <col min="8213" max="8213" width="13.33203125" customWidth="1"/>
    <col min="8214" max="8214" width="21.58203125" customWidth="1"/>
    <col min="8215" max="8215" width="16.08203125" customWidth="1"/>
    <col min="8216" max="8217" width="14" customWidth="1"/>
    <col min="8218" max="8218" width="9.58203125" customWidth="1"/>
    <col min="8219" max="8219" width="10.75" customWidth="1"/>
    <col min="8220" max="8220" width="9.58203125" customWidth="1"/>
    <col min="8221" max="8221" width="9.25" customWidth="1"/>
    <col min="8222" max="8222" width="9.33203125" customWidth="1"/>
    <col min="8223" max="8224" width="13.25" customWidth="1"/>
    <col min="8225" max="8225" width="8.25" bestFit="1" customWidth="1"/>
    <col min="8226" max="8226" width="10" customWidth="1"/>
    <col min="8228" max="8228" width="9.75" customWidth="1"/>
    <col min="8229" max="8229" width="9.33203125" customWidth="1"/>
    <col min="8230" max="8230" width="10.5" bestFit="1" customWidth="1"/>
    <col min="8237" max="8237" width="9.58203125" customWidth="1"/>
    <col min="8238" max="8238" width="14.75" customWidth="1"/>
    <col min="8239" max="8239" width="11.33203125" customWidth="1"/>
    <col min="8240" max="8240" width="9.83203125" customWidth="1"/>
    <col min="8241" max="8241" width="10.75" customWidth="1"/>
    <col min="8242" max="8242" width="10.08203125" bestFit="1" customWidth="1"/>
    <col min="8243" max="8243" width="12.5" customWidth="1"/>
    <col min="8244" max="8244" width="10.58203125" customWidth="1"/>
    <col min="8247" max="8247" width="15.75" customWidth="1"/>
    <col min="8248" max="8248" width="10" customWidth="1"/>
    <col min="8251" max="8251" width="8.83203125" customWidth="1"/>
    <col min="8252" max="8252" width="9.58203125" bestFit="1" customWidth="1"/>
    <col min="8253" max="8253" width="9.33203125" customWidth="1"/>
    <col min="8255" max="8255" width="7.25" customWidth="1"/>
    <col min="8256" max="8256" width="0" hidden="1" customWidth="1"/>
    <col min="8258" max="8258" width="9.33203125" customWidth="1"/>
    <col min="8259" max="8259" width="10.33203125" customWidth="1"/>
    <col min="8260" max="8260" width="15.83203125" customWidth="1"/>
    <col min="8262" max="8262" width="6.75" customWidth="1"/>
    <col min="8449" max="8449" width="0.33203125" customWidth="1"/>
    <col min="8450" max="8450" width="17.25" customWidth="1"/>
    <col min="8451" max="8451" width="13.33203125" customWidth="1"/>
    <col min="8452" max="8452" width="9.58203125" customWidth="1"/>
    <col min="8453" max="8453" width="13.33203125" customWidth="1"/>
    <col min="8454" max="8454" width="8.58203125" customWidth="1"/>
    <col min="8455" max="8455" width="15.58203125" customWidth="1"/>
    <col min="8456" max="8456" width="16.08203125" customWidth="1"/>
    <col min="8457" max="8457" width="12.5" customWidth="1"/>
    <col min="8458" max="8458" width="12.08203125" customWidth="1"/>
    <col min="8459" max="8459" width="18.08203125" customWidth="1"/>
    <col min="8460" max="8460" width="16.25" customWidth="1"/>
    <col min="8461" max="8462" width="12.83203125" customWidth="1"/>
    <col min="8463" max="8463" width="11.33203125" customWidth="1"/>
    <col min="8464" max="8464" width="11.75" customWidth="1"/>
    <col min="8465" max="8465" width="10.83203125" customWidth="1"/>
    <col min="8466" max="8466" width="16" customWidth="1"/>
    <col min="8467" max="8467" width="14.08203125" customWidth="1"/>
    <col min="8468" max="8468" width="11.75" customWidth="1"/>
    <col min="8469" max="8469" width="13.33203125" customWidth="1"/>
    <col min="8470" max="8470" width="21.58203125" customWidth="1"/>
    <col min="8471" max="8471" width="16.08203125" customWidth="1"/>
    <col min="8472" max="8473" width="14" customWidth="1"/>
    <col min="8474" max="8474" width="9.58203125" customWidth="1"/>
    <col min="8475" max="8475" width="10.75" customWidth="1"/>
    <col min="8476" max="8476" width="9.58203125" customWidth="1"/>
    <col min="8477" max="8477" width="9.25" customWidth="1"/>
    <col min="8478" max="8478" width="9.33203125" customWidth="1"/>
    <col min="8479" max="8480" width="13.25" customWidth="1"/>
    <col min="8481" max="8481" width="8.25" bestFit="1" customWidth="1"/>
    <col min="8482" max="8482" width="10" customWidth="1"/>
    <col min="8484" max="8484" width="9.75" customWidth="1"/>
    <col min="8485" max="8485" width="9.33203125" customWidth="1"/>
    <col min="8486" max="8486" width="10.5" bestFit="1" customWidth="1"/>
    <col min="8493" max="8493" width="9.58203125" customWidth="1"/>
    <col min="8494" max="8494" width="14.75" customWidth="1"/>
    <col min="8495" max="8495" width="11.33203125" customWidth="1"/>
    <col min="8496" max="8496" width="9.83203125" customWidth="1"/>
    <col min="8497" max="8497" width="10.75" customWidth="1"/>
    <col min="8498" max="8498" width="10.08203125" bestFit="1" customWidth="1"/>
    <col min="8499" max="8499" width="12.5" customWidth="1"/>
    <col min="8500" max="8500" width="10.58203125" customWidth="1"/>
    <col min="8503" max="8503" width="15.75" customWidth="1"/>
    <col min="8504" max="8504" width="10" customWidth="1"/>
    <col min="8507" max="8507" width="8.83203125" customWidth="1"/>
    <col min="8508" max="8508" width="9.58203125" bestFit="1" customWidth="1"/>
    <col min="8509" max="8509" width="9.33203125" customWidth="1"/>
    <col min="8511" max="8511" width="7.25" customWidth="1"/>
    <col min="8512" max="8512" width="0" hidden="1" customWidth="1"/>
    <col min="8514" max="8514" width="9.33203125" customWidth="1"/>
    <col min="8515" max="8515" width="10.33203125" customWidth="1"/>
    <col min="8516" max="8516" width="15.83203125" customWidth="1"/>
    <col min="8518" max="8518" width="6.75" customWidth="1"/>
    <col min="8705" max="8705" width="0.33203125" customWidth="1"/>
    <col min="8706" max="8706" width="17.25" customWidth="1"/>
    <col min="8707" max="8707" width="13.33203125" customWidth="1"/>
    <col min="8708" max="8708" width="9.58203125" customWidth="1"/>
    <col min="8709" max="8709" width="13.33203125" customWidth="1"/>
    <col min="8710" max="8710" width="8.58203125" customWidth="1"/>
    <col min="8711" max="8711" width="15.58203125" customWidth="1"/>
    <col min="8712" max="8712" width="16.08203125" customWidth="1"/>
    <col min="8713" max="8713" width="12.5" customWidth="1"/>
    <col min="8714" max="8714" width="12.08203125" customWidth="1"/>
    <col min="8715" max="8715" width="18.08203125" customWidth="1"/>
    <col min="8716" max="8716" width="16.25" customWidth="1"/>
    <col min="8717" max="8718" width="12.83203125" customWidth="1"/>
    <col min="8719" max="8719" width="11.33203125" customWidth="1"/>
    <col min="8720" max="8720" width="11.75" customWidth="1"/>
    <col min="8721" max="8721" width="10.83203125" customWidth="1"/>
    <col min="8722" max="8722" width="16" customWidth="1"/>
    <col min="8723" max="8723" width="14.08203125" customWidth="1"/>
    <col min="8724" max="8724" width="11.75" customWidth="1"/>
    <col min="8725" max="8725" width="13.33203125" customWidth="1"/>
    <col min="8726" max="8726" width="21.58203125" customWidth="1"/>
    <col min="8727" max="8727" width="16.08203125" customWidth="1"/>
    <col min="8728" max="8729" width="14" customWidth="1"/>
    <col min="8730" max="8730" width="9.58203125" customWidth="1"/>
    <col min="8731" max="8731" width="10.75" customWidth="1"/>
    <col min="8732" max="8732" width="9.58203125" customWidth="1"/>
    <col min="8733" max="8733" width="9.25" customWidth="1"/>
    <col min="8734" max="8734" width="9.33203125" customWidth="1"/>
    <col min="8735" max="8736" width="13.25" customWidth="1"/>
    <col min="8737" max="8737" width="8.25" bestFit="1" customWidth="1"/>
    <col min="8738" max="8738" width="10" customWidth="1"/>
    <col min="8740" max="8740" width="9.75" customWidth="1"/>
    <col min="8741" max="8741" width="9.33203125" customWidth="1"/>
    <col min="8742" max="8742" width="10.5" bestFit="1" customWidth="1"/>
    <col min="8749" max="8749" width="9.58203125" customWidth="1"/>
    <col min="8750" max="8750" width="14.75" customWidth="1"/>
    <col min="8751" max="8751" width="11.33203125" customWidth="1"/>
    <col min="8752" max="8752" width="9.83203125" customWidth="1"/>
    <col min="8753" max="8753" width="10.75" customWidth="1"/>
    <col min="8754" max="8754" width="10.08203125" bestFit="1" customWidth="1"/>
    <col min="8755" max="8755" width="12.5" customWidth="1"/>
    <col min="8756" max="8756" width="10.58203125" customWidth="1"/>
    <col min="8759" max="8759" width="15.75" customWidth="1"/>
    <col min="8760" max="8760" width="10" customWidth="1"/>
    <col min="8763" max="8763" width="8.83203125" customWidth="1"/>
    <col min="8764" max="8764" width="9.58203125" bestFit="1" customWidth="1"/>
    <col min="8765" max="8765" width="9.33203125" customWidth="1"/>
    <col min="8767" max="8767" width="7.25" customWidth="1"/>
    <col min="8768" max="8768" width="0" hidden="1" customWidth="1"/>
    <col min="8770" max="8770" width="9.33203125" customWidth="1"/>
    <col min="8771" max="8771" width="10.33203125" customWidth="1"/>
    <col min="8772" max="8772" width="15.83203125" customWidth="1"/>
    <col min="8774" max="8774" width="6.75" customWidth="1"/>
    <col min="8961" max="8961" width="0.33203125" customWidth="1"/>
    <col min="8962" max="8962" width="17.25" customWidth="1"/>
    <col min="8963" max="8963" width="13.33203125" customWidth="1"/>
    <col min="8964" max="8964" width="9.58203125" customWidth="1"/>
    <col min="8965" max="8965" width="13.33203125" customWidth="1"/>
    <col min="8966" max="8966" width="8.58203125" customWidth="1"/>
    <col min="8967" max="8967" width="15.58203125" customWidth="1"/>
    <col min="8968" max="8968" width="16.08203125" customWidth="1"/>
    <col min="8969" max="8969" width="12.5" customWidth="1"/>
    <col min="8970" max="8970" width="12.08203125" customWidth="1"/>
    <col min="8971" max="8971" width="18.08203125" customWidth="1"/>
    <col min="8972" max="8972" width="16.25" customWidth="1"/>
    <col min="8973" max="8974" width="12.83203125" customWidth="1"/>
    <col min="8975" max="8975" width="11.33203125" customWidth="1"/>
    <col min="8976" max="8976" width="11.75" customWidth="1"/>
    <col min="8977" max="8977" width="10.83203125" customWidth="1"/>
    <col min="8978" max="8978" width="16" customWidth="1"/>
    <col min="8979" max="8979" width="14.08203125" customWidth="1"/>
    <col min="8980" max="8980" width="11.75" customWidth="1"/>
    <col min="8981" max="8981" width="13.33203125" customWidth="1"/>
    <col min="8982" max="8982" width="21.58203125" customWidth="1"/>
    <col min="8983" max="8983" width="16.08203125" customWidth="1"/>
    <col min="8984" max="8985" width="14" customWidth="1"/>
    <col min="8986" max="8986" width="9.58203125" customWidth="1"/>
    <col min="8987" max="8987" width="10.75" customWidth="1"/>
    <col min="8988" max="8988" width="9.58203125" customWidth="1"/>
    <col min="8989" max="8989" width="9.25" customWidth="1"/>
    <col min="8990" max="8990" width="9.33203125" customWidth="1"/>
    <col min="8991" max="8992" width="13.25" customWidth="1"/>
    <col min="8993" max="8993" width="8.25" bestFit="1" customWidth="1"/>
    <col min="8994" max="8994" width="10" customWidth="1"/>
    <col min="8996" max="8996" width="9.75" customWidth="1"/>
    <col min="8997" max="8997" width="9.33203125" customWidth="1"/>
    <col min="8998" max="8998" width="10.5" bestFit="1" customWidth="1"/>
    <col min="9005" max="9005" width="9.58203125" customWidth="1"/>
    <col min="9006" max="9006" width="14.75" customWidth="1"/>
    <col min="9007" max="9007" width="11.33203125" customWidth="1"/>
    <col min="9008" max="9008" width="9.83203125" customWidth="1"/>
    <col min="9009" max="9009" width="10.75" customWidth="1"/>
    <col min="9010" max="9010" width="10.08203125" bestFit="1" customWidth="1"/>
    <col min="9011" max="9011" width="12.5" customWidth="1"/>
    <col min="9012" max="9012" width="10.58203125" customWidth="1"/>
    <col min="9015" max="9015" width="15.75" customWidth="1"/>
    <col min="9016" max="9016" width="10" customWidth="1"/>
    <col min="9019" max="9019" width="8.83203125" customWidth="1"/>
    <col min="9020" max="9020" width="9.58203125" bestFit="1" customWidth="1"/>
    <col min="9021" max="9021" width="9.33203125" customWidth="1"/>
    <col min="9023" max="9023" width="7.25" customWidth="1"/>
    <col min="9024" max="9024" width="0" hidden="1" customWidth="1"/>
    <col min="9026" max="9026" width="9.33203125" customWidth="1"/>
    <col min="9027" max="9027" width="10.33203125" customWidth="1"/>
    <col min="9028" max="9028" width="15.83203125" customWidth="1"/>
    <col min="9030" max="9030" width="6.75" customWidth="1"/>
    <col min="9217" max="9217" width="0.33203125" customWidth="1"/>
    <col min="9218" max="9218" width="17.25" customWidth="1"/>
    <col min="9219" max="9219" width="13.33203125" customWidth="1"/>
    <col min="9220" max="9220" width="9.58203125" customWidth="1"/>
    <col min="9221" max="9221" width="13.33203125" customWidth="1"/>
    <col min="9222" max="9222" width="8.58203125" customWidth="1"/>
    <col min="9223" max="9223" width="15.58203125" customWidth="1"/>
    <col min="9224" max="9224" width="16.08203125" customWidth="1"/>
    <col min="9225" max="9225" width="12.5" customWidth="1"/>
    <col min="9226" max="9226" width="12.08203125" customWidth="1"/>
    <col min="9227" max="9227" width="18.08203125" customWidth="1"/>
    <col min="9228" max="9228" width="16.25" customWidth="1"/>
    <col min="9229" max="9230" width="12.83203125" customWidth="1"/>
    <col min="9231" max="9231" width="11.33203125" customWidth="1"/>
    <col min="9232" max="9232" width="11.75" customWidth="1"/>
    <col min="9233" max="9233" width="10.83203125" customWidth="1"/>
    <col min="9234" max="9234" width="16" customWidth="1"/>
    <col min="9235" max="9235" width="14.08203125" customWidth="1"/>
    <col min="9236" max="9236" width="11.75" customWidth="1"/>
    <col min="9237" max="9237" width="13.33203125" customWidth="1"/>
    <col min="9238" max="9238" width="21.58203125" customWidth="1"/>
    <col min="9239" max="9239" width="16.08203125" customWidth="1"/>
    <col min="9240" max="9241" width="14" customWidth="1"/>
    <col min="9242" max="9242" width="9.58203125" customWidth="1"/>
    <col min="9243" max="9243" width="10.75" customWidth="1"/>
    <col min="9244" max="9244" width="9.58203125" customWidth="1"/>
    <col min="9245" max="9245" width="9.25" customWidth="1"/>
    <col min="9246" max="9246" width="9.33203125" customWidth="1"/>
    <col min="9247" max="9248" width="13.25" customWidth="1"/>
    <col min="9249" max="9249" width="8.25" bestFit="1" customWidth="1"/>
    <col min="9250" max="9250" width="10" customWidth="1"/>
    <col min="9252" max="9252" width="9.75" customWidth="1"/>
    <col min="9253" max="9253" width="9.33203125" customWidth="1"/>
    <col min="9254" max="9254" width="10.5" bestFit="1" customWidth="1"/>
    <col min="9261" max="9261" width="9.58203125" customWidth="1"/>
    <col min="9262" max="9262" width="14.75" customWidth="1"/>
    <col min="9263" max="9263" width="11.33203125" customWidth="1"/>
    <col min="9264" max="9264" width="9.83203125" customWidth="1"/>
    <col min="9265" max="9265" width="10.75" customWidth="1"/>
    <col min="9266" max="9266" width="10.08203125" bestFit="1" customWidth="1"/>
    <col min="9267" max="9267" width="12.5" customWidth="1"/>
    <col min="9268" max="9268" width="10.58203125" customWidth="1"/>
    <col min="9271" max="9271" width="15.75" customWidth="1"/>
    <col min="9272" max="9272" width="10" customWidth="1"/>
    <col min="9275" max="9275" width="8.83203125" customWidth="1"/>
    <col min="9276" max="9276" width="9.58203125" bestFit="1" customWidth="1"/>
    <col min="9277" max="9277" width="9.33203125" customWidth="1"/>
    <col min="9279" max="9279" width="7.25" customWidth="1"/>
    <col min="9280" max="9280" width="0" hidden="1" customWidth="1"/>
    <col min="9282" max="9282" width="9.33203125" customWidth="1"/>
    <col min="9283" max="9283" width="10.33203125" customWidth="1"/>
    <col min="9284" max="9284" width="15.83203125" customWidth="1"/>
    <col min="9286" max="9286" width="6.75" customWidth="1"/>
    <col min="9473" max="9473" width="0.33203125" customWidth="1"/>
    <col min="9474" max="9474" width="17.25" customWidth="1"/>
    <col min="9475" max="9475" width="13.33203125" customWidth="1"/>
    <col min="9476" max="9476" width="9.58203125" customWidth="1"/>
    <col min="9477" max="9477" width="13.33203125" customWidth="1"/>
    <col min="9478" max="9478" width="8.58203125" customWidth="1"/>
    <col min="9479" max="9479" width="15.58203125" customWidth="1"/>
    <col min="9480" max="9480" width="16.08203125" customWidth="1"/>
    <col min="9481" max="9481" width="12.5" customWidth="1"/>
    <col min="9482" max="9482" width="12.08203125" customWidth="1"/>
    <col min="9483" max="9483" width="18.08203125" customWidth="1"/>
    <col min="9484" max="9484" width="16.25" customWidth="1"/>
    <col min="9485" max="9486" width="12.83203125" customWidth="1"/>
    <col min="9487" max="9487" width="11.33203125" customWidth="1"/>
    <col min="9488" max="9488" width="11.75" customWidth="1"/>
    <col min="9489" max="9489" width="10.83203125" customWidth="1"/>
    <col min="9490" max="9490" width="16" customWidth="1"/>
    <col min="9491" max="9491" width="14.08203125" customWidth="1"/>
    <col min="9492" max="9492" width="11.75" customWidth="1"/>
    <col min="9493" max="9493" width="13.33203125" customWidth="1"/>
    <col min="9494" max="9494" width="21.58203125" customWidth="1"/>
    <col min="9495" max="9495" width="16.08203125" customWidth="1"/>
    <col min="9496" max="9497" width="14" customWidth="1"/>
    <col min="9498" max="9498" width="9.58203125" customWidth="1"/>
    <col min="9499" max="9499" width="10.75" customWidth="1"/>
    <col min="9500" max="9500" width="9.58203125" customWidth="1"/>
    <col min="9501" max="9501" width="9.25" customWidth="1"/>
    <col min="9502" max="9502" width="9.33203125" customWidth="1"/>
    <col min="9503" max="9504" width="13.25" customWidth="1"/>
    <col min="9505" max="9505" width="8.25" bestFit="1" customWidth="1"/>
    <col min="9506" max="9506" width="10" customWidth="1"/>
    <col min="9508" max="9508" width="9.75" customWidth="1"/>
    <col min="9509" max="9509" width="9.33203125" customWidth="1"/>
    <col min="9510" max="9510" width="10.5" bestFit="1" customWidth="1"/>
    <col min="9517" max="9517" width="9.58203125" customWidth="1"/>
    <col min="9518" max="9518" width="14.75" customWidth="1"/>
    <col min="9519" max="9519" width="11.33203125" customWidth="1"/>
    <col min="9520" max="9520" width="9.83203125" customWidth="1"/>
    <col min="9521" max="9521" width="10.75" customWidth="1"/>
    <col min="9522" max="9522" width="10.08203125" bestFit="1" customWidth="1"/>
    <col min="9523" max="9523" width="12.5" customWidth="1"/>
    <col min="9524" max="9524" width="10.58203125" customWidth="1"/>
    <col min="9527" max="9527" width="15.75" customWidth="1"/>
    <col min="9528" max="9528" width="10" customWidth="1"/>
    <col min="9531" max="9531" width="8.83203125" customWidth="1"/>
    <col min="9532" max="9532" width="9.58203125" bestFit="1" customWidth="1"/>
    <col min="9533" max="9533" width="9.33203125" customWidth="1"/>
    <col min="9535" max="9535" width="7.25" customWidth="1"/>
    <col min="9536" max="9536" width="0" hidden="1" customWidth="1"/>
    <col min="9538" max="9538" width="9.33203125" customWidth="1"/>
    <col min="9539" max="9539" width="10.33203125" customWidth="1"/>
    <col min="9540" max="9540" width="15.83203125" customWidth="1"/>
    <col min="9542" max="9542" width="6.75" customWidth="1"/>
    <col min="9729" max="9729" width="0.33203125" customWidth="1"/>
    <col min="9730" max="9730" width="17.25" customWidth="1"/>
    <col min="9731" max="9731" width="13.33203125" customWidth="1"/>
    <col min="9732" max="9732" width="9.58203125" customWidth="1"/>
    <col min="9733" max="9733" width="13.33203125" customWidth="1"/>
    <col min="9734" max="9734" width="8.58203125" customWidth="1"/>
    <col min="9735" max="9735" width="15.58203125" customWidth="1"/>
    <col min="9736" max="9736" width="16.08203125" customWidth="1"/>
    <col min="9737" max="9737" width="12.5" customWidth="1"/>
    <col min="9738" max="9738" width="12.08203125" customWidth="1"/>
    <col min="9739" max="9739" width="18.08203125" customWidth="1"/>
    <col min="9740" max="9740" width="16.25" customWidth="1"/>
    <col min="9741" max="9742" width="12.83203125" customWidth="1"/>
    <col min="9743" max="9743" width="11.33203125" customWidth="1"/>
    <col min="9744" max="9744" width="11.75" customWidth="1"/>
    <col min="9745" max="9745" width="10.83203125" customWidth="1"/>
    <col min="9746" max="9746" width="16" customWidth="1"/>
    <col min="9747" max="9747" width="14.08203125" customWidth="1"/>
    <col min="9748" max="9748" width="11.75" customWidth="1"/>
    <col min="9749" max="9749" width="13.33203125" customWidth="1"/>
    <col min="9750" max="9750" width="21.58203125" customWidth="1"/>
    <col min="9751" max="9751" width="16.08203125" customWidth="1"/>
    <col min="9752" max="9753" width="14" customWidth="1"/>
    <col min="9754" max="9754" width="9.58203125" customWidth="1"/>
    <col min="9755" max="9755" width="10.75" customWidth="1"/>
    <col min="9756" max="9756" width="9.58203125" customWidth="1"/>
    <col min="9757" max="9757" width="9.25" customWidth="1"/>
    <col min="9758" max="9758" width="9.33203125" customWidth="1"/>
    <col min="9759" max="9760" width="13.25" customWidth="1"/>
    <col min="9761" max="9761" width="8.25" bestFit="1" customWidth="1"/>
    <col min="9762" max="9762" width="10" customWidth="1"/>
    <col min="9764" max="9764" width="9.75" customWidth="1"/>
    <col min="9765" max="9765" width="9.33203125" customWidth="1"/>
    <col min="9766" max="9766" width="10.5" bestFit="1" customWidth="1"/>
    <col min="9773" max="9773" width="9.58203125" customWidth="1"/>
    <col min="9774" max="9774" width="14.75" customWidth="1"/>
    <col min="9775" max="9775" width="11.33203125" customWidth="1"/>
    <col min="9776" max="9776" width="9.83203125" customWidth="1"/>
    <col min="9777" max="9777" width="10.75" customWidth="1"/>
    <col min="9778" max="9778" width="10.08203125" bestFit="1" customWidth="1"/>
    <col min="9779" max="9779" width="12.5" customWidth="1"/>
    <col min="9780" max="9780" width="10.58203125" customWidth="1"/>
    <col min="9783" max="9783" width="15.75" customWidth="1"/>
    <col min="9784" max="9784" width="10" customWidth="1"/>
    <col min="9787" max="9787" width="8.83203125" customWidth="1"/>
    <col min="9788" max="9788" width="9.58203125" bestFit="1" customWidth="1"/>
    <col min="9789" max="9789" width="9.33203125" customWidth="1"/>
    <col min="9791" max="9791" width="7.25" customWidth="1"/>
    <col min="9792" max="9792" width="0" hidden="1" customWidth="1"/>
    <col min="9794" max="9794" width="9.33203125" customWidth="1"/>
    <col min="9795" max="9795" width="10.33203125" customWidth="1"/>
    <col min="9796" max="9796" width="15.83203125" customWidth="1"/>
    <col min="9798" max="9798" width="6.75" customWidth="1"/>
    <col min="9985" max="9985" width="0.33203125" customWidth="1"/>
    <col min="9986" max="9986" width="17.25" customWidth="1"/>
    <col min="9987" max="9987" width="13.33203125" customWidth="1"/>
    <col min="9988" max="9988" width="9.58203125" customWidth="1"/>
    <col min="9989" max="9989" width="13.33203125" customWidth="1"/>
    <col min="9990" max="9990" width="8.58203125" customWidth="1"/>
    <col min="9991" max="9991" width="15.58203125" customWidth="1"/>
    <col min="9992" max="9992" width="16.08203125" customWidth="1"/>
    <col min="9993" max="9993" width="12.5" customWidth="1"/>
    <col min="9994" max="9994" width="12.08203125" customWidth="1"/>
    <col min="9995" max="9995" width="18.08203125" customWidth="1"/>
    <col min="9996" max="9996" width="16.25" customWidth="1"/>
    <col min="9997" max="9998" width="12.83203125" customWidth="1"/>
    <col min="9999" max="9999" width="11.33203125" customWidth="1"/>
    <col min="10000" max="10000" width="11.75" customWidth="1"/>
    <col min="10001" max="10001" width="10.83203125" customWidth="1"/>
    <col min="10002" max="10002" width="16" customWidth="1"/>
    <col min="10003" max="10003" width="14.08203125" customWidth="1"/>
    <col min="10004" max="10004" width="11.75" customWidth="1"/>
    <col min="10005" max="10005" width="13.33203125" customWidth="1"/>
    <col min="10006" max="10006" width="21.58203125" customWidth="1"/>
    <col min="10007" max="10007" width="16.08203125" customWidth="1"/>
    <col min="10008" max="10009" width="14" customWidth="1"/>
    <col min="10010" max="10010" width="9.58203125" customWidth="1"/>
    <col min="10011" max="10011" width="10.75" customWidth="1"/>
    <col min="10012" max="10012" width="9.58203125" customWidth="1"/>
    <col min="10013" max="10013" width="9.25" customWidth="1"/>
    <col min="10014" max="10014" width="9.33203125" customWidth="1"/>
    <col min="10015" max="10016" width="13.25" customWidth="1"/>
    <col min="10017" max="10017" width="8.25" bestFit="1" customWidth="1"/>
    <col min="10018" max="10018" width="10" customWidth="1"/>
    <col min="10020" max="10020" width="9.75" customWidth="1"/>
    <col min="10021" max="10021" width="9.33203125" customWidth="1"/>
    <col min="10022" max="10022" width="10.5" bestFit="1" customWidth="1"/>
    <col min="10029" max="10029" width="9.58203125" customWidth="1"/>
    <col min="10030" max="10030" width="14.75" customWidth="1"/>
    <col min="10031" max="10031" width="11.33203125" customWidth="1"/>
    <col min="10032" max="10032" width="9.83203125" customWidth="1"/>
    <col min="10033" max="10033" width="10.75" customWidth="1"/>
    <col min="10034" max="10034" width="10.08203125" bestFit="1" customWidth="1"/>
    <col min="10035" max="10035" width="12.5" customWidth="1"/>
    <col min="10036" max="10036" width="10.58203125" customWidth="1"/>
    <col min="10039" max="10039" width="15.75" customWidth="1"/>
    <col min="10040" max="10040" width="10" customWidth="1"/>
    <col min="10043" max="10043" width="8.83203125" customWidth="1"/>
    <col min="10044" max="10044" width="9.58203125" bestFit="1" customWidth="1"/>
    <col min="10045" max="10045" width="9.33203125" customWidth="1"/>
    <col min="10047" max="10047" width="7.25" customWidth="1"/>
    <col min="10048" max="10048" width="0" hidden="1" customWidth="1"/>
    <col min="10050" max="10050" width="9.33203125" customWidth="1"/>
    <col min="10051" max="10051" width="10.33203125" customWidth="1"/>
    <col min="10052" max="10052" width="15.83203125" customWidth="1"/>
    <col min="10054" max="10054" width="6.75" customWidth="1"/>
    <col min="10241" max="10241" width="0.33203125" customWidth="1"/>
    <col min="10242" max="10242" width="17.25" customWidth="1"/>
    <col min="10243" max="10243" width="13.33203125" customWidth="1"/>
    <col min="10244" max="10244" width="9.58203125" customWidth="1"/>
    <col min="10245" max="10245" width="13.33203125" customWidth="1"/>
    <col min="10246" max="10246" width="8.58203125" customWidth="1"/>
    <col min="10247" max="10247" width="15.58203125" customWidth="1"/>
    <col min="10248" max="10248" width="16.08203125" customWidth="1"/>
    <col min="10249" max="10249" width="12.5" customWidth="1"/>
    <col min="10250" max="10250" width="12.08203125" customWidth="1"/>
    <col min="10251" max="10251" width="18.08203125" customWidth="1"/>
    <col min="10252" max="10252" width="16.25" customWidth="1"/>
    <col min="10253" max="10254" width="12.83203125" customWidth="1"/>
    <col min="10255" max="10255" width="11.33203125" customWidth="1"/>
    <col min="10256" max="10256" width="11.75" customWidth="1"/>
    <col min="10257" max="10257" width="10.83203125" customWidth="1"/>
    <col min="10258" max="10258" width="16" customWidth="1"/>
    <col min="10259" max="10259" width="14.08203125" customWidth="1"/>
    <col min="10260" max="10260" width="11.75" customWidth="1"/>
    <col min="10261" max="10261" width="13.33203125" customWidth="1"/>
    <col min="10262" max="10262" width="21.58203125" customWidth="1"/>
    <col min="10263" max="10263" width="16.08203125" customWidth="1"/>
    <col min="10264" max="10265" width="14" customWidth="1"/>
    <col min="10266" max="10266" width="9.58203125" customWidth="1"/>
    <col min="10267" max="10267" width="10.75" customWidth="1"/>
    <col min="10268" max="10268" width="9.58203125" customWidth="1"/>
    <col min="10269" max="10269" width="9.25" customWidth="1"/>
    <col min="10270" max="10270" width="9.33203125" customWidth="1"/>
    <col min="10271" max="10272" width="13.25" customWidth="1"/>
    <col min="10273" max="10273" width="8.25" bestFit="1" customWidth="1"/>
    <col min="10274" max="10274" width="10" customWidth="1"/>
    <col min="10276" max="10276" width="9.75" customWidth="1"/>
    <col min="10277" max="10277" width="9.33203125" customWidth="1"/>
    <col min="10278" max="10278" width="10.5" bestFit="1" customWidth="1"/>
    <col min="10285" max="10285" width="9.58203125" customWidth="1"/>
    <col min="10286" max="10286" width="14.75" customWidth="1"/>
    <col min="10287" max="10287" width="11.33203125" customWidth="1"/>
    <col min="10288" max="10288" width="9.83203125" customWidth="1"/>
    <col min="10289" max="10289" width="10.75" customWidth="1"/>
    <col min="10290" max="10290" width="10.08203125" bestFit="1" customWidth="1"/>
    <col min="10291" max="10291" width="12.5" customWidth="1"/>
    <col min="10292" max="10292" width="10.58203125" customWidth="1"/>
    <col min="10295" max="10295" width="15.75" customWidth="1"/>
    <col min="10296" max="10296" width="10" customWidth="1"/>
    <col min="10299" max="10299" width="8.83203125" customWidth="1"/>
    <col min="10300" max="10300" width="9.58203125" bestFit="1" customWidth="1"/>
    <col min="10301" max="10301" width="9.33203125" customWidth="1"/>
    <col min="10303" max="10303" width="7.25" customWidth="1"/>
    <col min="10304" max="10304" width="0" hidden="1" customWidth="1"/>
    <col min="10306" max="10306" width="9.33203125" customWidth="1"/>
    <col min="10307" max="10307" width="10.33203125" customWidth="1"/>
    <col min="10308" max="10308" width="15.83203125" customWidth="1"/>
    <col min="10310" max="10310" width="6.75" customWidth="1"/>
    <col min="10497" max="10497" width="0.33203125" customWidth="1"/>
    <col min="10498" max="10498" width="17.25" customWidth="1"/>
    <col min="10499" max="10499" width="13.33203125" customWidth="1"/>
    <col min="10500" max="10500" width="9.58203125" customWidth="1"/>
    <col min="10501" max="10501" width="13.33203125" customWidth="1"/>
    <col min="10502" max="10502" width="8.58203125" customWidth="1"/>
    <col min="10503" max="10503" width="15.58203125" customWidth="1"/>
    <col min="10504" max="10504" width="16.08203125" customWidth="1"/>
    <col min="10505" max="10505" width="12.5" customWidth="1"/>
    <col min="10506" max="10506" width="12.08203125" customWidth="1"/>
    <col min="10507" max="10507" width="18.08203125" customWidth="1"/>
    <col min="10508" max="10508" width="16.25" customWidth="1"/>
    <col min="10509" max="10510" width="12.83203125" customWidth="1"/>
    <col min="10511" max="10511" width="11.33203125" customWidth="1"/>
    <col min="10512" max="10512" width="11.75" customWidth="1"/>
    <col min="10513" max="10513" width="10.83203125" customWidth="1"/>
    <col min="10514" max="10514" width="16" customWidth="1"/>
    <col min="10515" max="10515" width="14.08203125" customWidth="1"/>
    <col min="10516" max="10516" width="11.75" customWidth="1"/>
    <col min="10517" max="10517" width="13.33203125" customWidth="1"/>
    <col min="10518" max="10518" width="21.58203125" customWidth="1"/>
    <col min="10519" max="10519" width="16.08203125" customWidth="1"/>
    <col min="10520" max="10521" width="14" customWidth="1"/>
    <col min="10522" max="10522" width="9.58203125" customWidth="1"/>
    <col min="10523" max="10523" width="10.75" customWidth="1"/>
    <col min="10524" max="10524" width="9.58203125" customWidth="1"/>
    <col min="10525" max="10525" width="9.25" customWidth="1"/>
    <col min="10526" max="10526" width="9.33203125" customWidth="1"/>
    <col min="10527" max="10528" width="13.25" customWidth="1"/>
    <col min="10529" max="10529" width="8.25" bestFit="1" customWidth="1"/>
    <col min="10530" max="10530" width="10" customWidth="1"/>
    <col min="10532" max="10532" width="9.75" customWidth="1"/>
    <col min="10533" max="10533" width="9.33203125" customWidth="1"/>
    <col min="10534" max="10534" width="10.5" bestFit="1" customWidth="1"/>
    <col min="10541" max="10541" width="9.58203125" customWidth="1"/>
    <col min="10542" max="10542" width="14.75" customWidth="1"/>
    <col min="10543" max="10543" width="11.33203125" customWidth="1"/>
    <col min="10544" max="10544" width="9.83203125" customWidth="1"/>
    <col min="10545" max="10545" width="10.75" customWidth="1"/>
    <col min="10546" max="10546" width="10.08203125" bestFit="1" customWidth="1"/>
    <col min="10547" max="10547" width="12.5" customWidth="1"/>
    <col min="10548" max="10548" width="10.58203125" customWidth="1"/>
    <col min="10551" max="10551" width="15.75" customWidth="1"/>
    <col min="10552" max="10552" width="10" customWidth="1"/>
    <col min="10555" max="10555" width="8.83203125" customWidth="1"/>
    <col min="10556" max="10556" width="9.58203125" bestFit="1" customWidth="1"/>
    <col min="10557" max="10557" width="9.33203125" customWidth="1"/>
    <col min="10559" max="10559" width="7.25" customWidth="1"/>
    <col min="10560" max="10560" width="0" hidden="1" customWidth="1"/>
    <col min="10562" max="10562" width="9.33203125" customWidth="1"/>
    <col min="10563" max="10563" width="10.33203125" customWidth="1"/>
    <col min="10564" max="10564" width="15.83203125" customWidth="1"/>
    <col min="10566" max="10566" width="6.75" customWidth="1"/>
    <col min="10753" max="10753" width="0.33203125" customWidth="1"/>
    <col min="10754" max="10754" width="17.25" customWidth="1"/>
    <col min="10755" max="10755" width="13.33203125" customWidth="1"/>
    <col min="10756" max="10756" width="9.58203125" customWidth="1"/>
    <col min="10757" max="10757" width="13.33203125" customWidth="1"/>
    <col min="10758" max="10758" width="8.58203125" customWidth="1"/>
    <col min="10759" max="10759" width="15.58203125" customWidth="1"/>
    <col min="10760" max="10760" width="16.08203125" customWidth="1"/>
    <col min="10761" max="10761" width="12.5" customWidth="1"/>
    <col min="10762" max="10762" width="12.08203125" customWidth="1"/>
    <col min="10763" max="10763" width="18.08203125" customWidth="1"/>
    <col min="10764" max="10764" width="16.25" customWidth="1"/>
    <col min="10765" max="10766" width="12.83203125" customWidth="1"/>
    <col min="10767" max="10767" width="11.33203125" customWidth="1"/>
    <col min="10768" max="10768" width="11.75" customWidth="1"/>
    <col min="10769" max="10769" width="10.83203125" customWidth="1"/>
    <col min="10770" max="10770" width="16" customWidth="1"/>
    <col min="10771" max="10771" width="14.08203125" customWidth="1"/>
    <col min="10772" max="10772" width="11.75" customWidth="1"/>
    <col min="10773" max="10773" width="13.33203125" customWidth="1"/>
    <col min="10774" max="10774" width="21.58203125" customWidth="1"/>
    <col min="10775" max="10775" width="16.08203125" customWidth="1"/>
    <col min="10776" max="10777" width="14" customWidth="1"/>
    <col min="10778" max="10778" width="9.58203125" customWidth="1"/>
    <col min="10779" max="10779" width="10.75" customWidth="1"/>
    <col min="10780" max="10780" width="9.58203125" customWidth="1"/>
    <col min="10781" max="10781" width="9.25" customWidth="1"/>
    <col min="10782" max="10782" width="9.33203125" customWidth="1"/>
    <col min="10783" max="10784" width="13.25" customWidth="1"/>
    <col min="10785" max="10785" width="8.25" bestFit="1" customWidth="1"/>
    <col min="10786" max="10786" width="10" customWidth="1"/>
    <col min="10788" max="10788" width="9.75" customWidth="1"/>
    <col min="10789" max="10789" width="9.33203125" customWidth="1"/>
    <col min="10790" max="10790" width="10.5" bestFit="1" customWidth="1"/>
    <col min="10797" max="10797" width="9.58203125" customWidth="1"/>
    <col min="10798" max="10798" width="14.75" customWidth="1"/>
    <col min="10799" max="10799" width="11.33203125" customWidth="1"/>
    <col min="10800" max="10800" width="9.83203125" customWidth="1"/>
    <col min="10801" max="10801" width="10.75" customWidth="1"/>
    <col min="10802" max="10802" width="10.08203125" bestFit="1" customWidth="1"/>
    <col min="10803" max="10803" width="12.5" customWidth="1"/>
    <col min="10804" max="10804" width="10.58203125" customWidth="1"/>
    <col min="10807" max="10807" width="15.75" customWidth="1"/>
    <col min="10808" max="10808" width="10" customWidth="1"/>
    <col min="10811" max="10811" width="8.83203125" customWidth="1"/>
    <col min="10812" max="10812" width="9.58203125" bestFit="1" customWidth="1"/>
    <col min="10813" max="10813" width="9.33203125" customWidth="1"/>
    <col min="10815" max="10815" width="7.25" customWidth="1"/>
    <col min="10816" max="10816" width="0" hidden="1" customWidth="1"/>
    <col min="10818" max="10818" width="9.33203125" customWidth="1"/>
    <col min="10819" max="10819" width="10.33203125" customWidth="1"/>
    <col min="10820" max="10820" width="15.83203125" customWidth="1"/>
    <col min="10822" max="10822" width="6.75" customWidth="1"/>
    <col min="11009" max="11009" width="0.33203125" customWidth="1"/>
    <col min="11010" max="11010" width="17.25" customWidth="1"/>
    <col min="11011" max="11011" width="13.33203125" customWidth="1"/>
    <col min="11012" max="11012" width="9.58203125" customWidth="1"/>
    <col min="11013" max="11013" width="13.33203125" customWidth="1"/>
    <col min="11014" max="11014" width="8.58203125" customWidth="1"/>
    <col min="11015" max="11015" width="15.58203125" customWidth="1"/>
    <col min="11016" max="11016" width="16.08203125" customWidth="1"/>
    <col min="11017" max="11017" width="12.5" customWidth="1"/>
    <col min="11018" max="11018" width="12.08203125" customWidth="1"/>
    <col min="11019" max="11019" width="18.08203125" customWidth="1"/>
    <col min="11020" max="11020" width="16.25" customWidth="1"/>
    <col min="11021" max="11022" width="12.83203125" customWidth="1"/>
    <col min="11023" max="11023" width="11.33203125" customWidth="1"/>
    <col min="11024" max="11024" width="11.75" customWidth="1"/>
    <col min="11025" max="11025" width="10.83203125" customWidth="1"/>
    <col min="11026" max="11026" width="16" customWidth="1"/>
    <col min="11027" max="11027" width="14.08203125" customWidth="1"/>
    <col min="11028" max="11028" width="11.75" customWidth="1"/>
    <col min="11029" max="11029" width="13.33203125" customWidth="1"/>
    <col min="11030" max="11030" width="21.58203125" customWidth="1"/>
    <col min="11031" max="11031" width="16.08203125" customWidth="1"/>
    <col min="11032" max="11033" width="14" customWidth="1"/>
    <col min="11034" max="11034" width="9.58203125" customWidth="1"/>
    <col min="11035" max="11035" width="10.75" customWidth="1"/>
    <col min="11036" max="11036" width="9.58203125" customWidth="1"/>
    <col min="11037" max="11037" width="9.25" customWidth="1"/>
    <col min="11038" max="11038" width="9.33203125" customWidth="1"/>
    <col min="11039" max="11040" width="13.25" customWidth="1"/>
    <col min="11041" max="11041" width="8.25" bestFit="1" customWidth="1"/>
    <col min="11042" max="11042" width="10" customWidth="1"/>
    <col min="11044" max="11044" width="9.75" customWidth="1"/>
    <col min="11045" max="11045" width="9.33203125" customWidth="1"/>
    <col min="11046" max="11046" width="10.5" bestFit="1" customWidth="1"/>
    <col min="11053" max="11053" width="9.58203125" customWidth="1"/>
    <col min="11054" max="11054" width="14.75" customWidth="1"/>
    <col min="11055" max="11055" width="11.33203125" customWidth="1"/>
    <col min="11056" max="11056" width="9.83203125" customWidth="1"/>
    <col min="11057" max="11057" width="10.75" customWidth="1"/>
    <col min="11058" max="11058" width="10.08203125" bestFit="1" customWidth="1"/>
    <col min="11059" max="11059" width="12.5" customWidth="1"/>
    <col min="11060" max="11060" width="10.58203125" customWidth="1"/>
    <col min="11063" max="11063" width="15.75" customWidth="1"/>
    <col min="11064" max="11064" width="10" customWidth="1"/>
    <col min="11067" max="11067" width="8.83203125" customWidth="1"/>
    <col min="11068" max="11068" width="9.58203125" bestFit="1" customWidth="1"/>
    <col min="11069" max="11069" width="9.33203125" customWidth="1"/>
    <col min="11071" max="11071" width="7.25" customWidth="1"/>
    <col min="11072" max="11072" width="0" hidden="1" customWidth="1"/>
    <col min="11074" max="11074" width="9.33203125" customWidth="1"/>
    <col min="11075" max="11075" width="10.33203125" customWidth="1"/>
    <col min="11076" max="11076" width="15.83203125" customWidth="1"/>
    <col min="11078" max="11078" width="6.75" customWidth="1"/>
    <col min="11265" max="11265" width="0.33203125" customWidth="1"/>
    <col min="11266" max="11266" width="17.25" customWidth="1"/>
    <col min="11267" max="11267" width="13.33203125" customWidth="1"/>
    <col min="11268" max="11268" width="9.58203125" customWidth="1"/>
    <col min="11269" max="11269" width="13.33203125" customWidth="1"/>
    <col min="11270" max="11270" width="8.58203125" customWidth="1"/>
    <col min="11271" max="11271" width="15.58203125" customWidth="1"/>
    <col min="11272" max="11272" width="16.08203125" customWidth="1"/>
    <col min="11273" max="11273" width="12.5" customWidth="1"/>
    <col min="11274" max="11274" width="12.08203125" customWidth="1"/>
    <col min="11275" max="11275" width="18.08203125" customWidth="1"/>
    <col min="11276" max="11276" width="16.25" customWidth="1"/>
    <col min="11277" max="11278" width="12.83203125" customWidth="1"/>
    <col min="11279" max="11279" width="11.33203125" customWidth="1"/>
    <col min="11280" max="11280" width="11.75" customWidth="1"/>
    <col min="11281" max="11281" width="10.83203125" customWidth="1"/>
    <col min="11282" max="11282" width="16" customWidth="1"/>
    <col min="11283" max="11283" width="14.08203125" customWidth="1"/>
    <col min="11284" max="11284" width="11.75" customWidth="1"/>
    <col min="11285" max="11285" width="13.33203125" customWidth="1"/>
    <col min="11286" max="11286" width="21.58203125" customWidth="1"/>
    <col min="11287" max="11287" width="16.08203125" customWidth="1"/>
    <col min="11288" max="11289" width="14" customWidth="1"/>
    <col min="11290" max="11290" width="9.58203125" customWidth="1"/>
    <col min="11291" max="11291" width="10.75" customWidth="1"/>
    <col min="11292" max="11292" width="9.58203125" customWidth="1"/>
    <col min="11293" max="11293" width="9.25" customWidth="1"/>
    <col min="11294" max="11294" width="9.33203125" customWidth="1"/>
    <col min="11295" max="11296" width="13.25" customWidth="1"/>
    <col min="11297" max="11297" width="8.25" bestFit="1" customWidth="1"/>
    <col min="11298" max="11298" width="10" customWidth="1"/>
    <col min="11300" max="11300" width="9.75" customWidth="1"/>
    <col min="11301" max="11301" width="9.33203125" customWidth="1"/>
    <col min="11302" max="11302" width="10.5" bestFit="1" customWidth="1"/>
    <col min="11309" max="11309" width="9.58203125" customWidth="1"/>
    <col min="11310" max="11310" width="14.75" customWidth="1"/>
    <col min="11311" max="11311" width="11.33203125" customWidth="1"/>
    <col min="11312" max="11312" width="9.83203125" customWidth="1"/>
    <col min="11313" max="11313" width="10.75" customWidth="1"/>
    <col min="11314" max="11314" width="10.08203125" bestFit="1" customWidth="1"/>
    <col min="11315" max="11315" width="12.5" customWidth="1"/>
    <col min="11316" max="11316" width="10.58203125" customWidth="1"/>
    <col min="11319" max="11319" width="15.75" customWidth="1"/>
    <col min="11320" max="11320" width="10" customWidth="1"/>
    <col min="11323" max="11323" width="8.83203125" customWidth="1"/>
    <col min="11324" max="11324" width="9.58203125" bestFit="1" customWidth="1"/>
    <col min="11325" max="11325" width="9.33203125" customWidth="1"/>
    <col min="11327" max="11327" width="7.25" customWidth="1"/>
    <col min="11328" max="11328" width="0" hidden="1" customWidth="1"/>
    <col min="11330" max="11330" width="9.33203125" customWidth="1"/>
    <col min="11331" max="11331" width="10.33203125" customWidth="1"/>
    <col min="11332" max="11332" width="15.83203125" customWidth="1"/>
    <col min="11334" max="11334" width="6.75" customWidth="1"/>
    <col min="11521" max="11521" width="0.33203125" customWidth="1"/>
    <col min="11522" max="11522" width="17.25" customWidth="1"/>
    <col min="11523" max="11523" width="13.33203125" customWidth="1"/>
    <col min="11524" max="11524" width="9.58203125" customWidth="1"/>
    <col min="11525" max="11525" width="13.33203125" customWidth="1"/>
    <col min="11526" max="11526" width="8.58203125" customWidth="1"/>
    <col min="11527" max="11527" width="15.58203125" customWidth="1"/>
    <col min="11528" max="11528" width="16.08203125" customWidth="1"/>
    <col min="11529" max="11529" width="12.5" customWidth="1"/>
    <col min="11530" max="11530" width="12.08203125" customWidth="1"/>
    <col min="11531" max="11531" width="18.08203125" customWidth="1"/>
    <col min="11532" max="11532" width="16.25" customWidth="1"/>
    <col min="11533" max="11534" width="12.83203125" customWidth="1"/>
    <col min="11535" max="11535" width="11.33203125" customWidth="1"/>
    <col min="11536" max="11536" width="11.75" customWidth="1"/>
    <col min="11537" max="11537" width="10.83203125" customWidth="1"/>
    <col min="11538" max="11538" width="16" customWidth="1"/>
    <col min="11539" max="11539" width="14.08203125" customWidth="1"/>
    <col min="11540" max="11540" width="11.75" customWidth="1"/>
    <col min="11541" max="11541" width="13.33203125" customWidth="1"/>
    <col min="11542" max="11542" width="21.58203125" customWidth="1"/>
    <col min="11543" max="11543" width="16.08203125" customWidth="1"/>
    <col min="11544" max="11545" width="14" customWidth="1"/>
    <col min="11546" max="11546" width="9.58203125" customWidth="1"/>
    <col min="11547" max="11547" width="10.75" customWidth="1"/>
    <col min="11548" max="11548" width="9.58203125" customWidth="1"/>
    <col min="11549" max="11549" width="9.25" customWidth="1"/>
    <col min="11550" max="11550" width="9.33203125" customWidth="1"/>
    <col min="11551" max="11552" width="13.25" customWidth="1"/>
    <col min="11553" max="11553" width="8.25" bestFit="1" customWidth="1"/>
    <col min="11554" max="11554" width="10" customWidth="1"/>
    <col min="11556" max="11556" width="9.75" customWidth="1"/>
    <col min="11557" max="11557" width="9.33203125" customWidth="1"/>
    <col min="11558" max="11558" width="10.5" bestFit="1" customWidth="1"/>
    <col min="11565" max="11565" width="9.58203125" customWidth="1"/>
    <col min="11566" max="11566" width="14.75" customWidth="1"/>
    <col min="11567" max="11567" width="11.33203125" customWidth="1"/>
    <col min="11568" max="11568" width="9.83203125" customWidth="1"/>
    <col min="11569" max="11569" width="10.75" customWidth="1"/>
    <col min="11570" max="11570" width="10.08203125" bestFit="1" customWidth="1"/>
    <col min="11571" max="11571" width="12.5" customWidth="1"/>
    <col min="11572" max="11572" width="10.58203125" customWidth="1"/>
    <col min="11575" max="11575" width="15.75" customWidth="1"/>
    <col min="11576" max="11576" width="10" customWidth="1"/>
    <col min="11579" max="11579" width="8.83203125" customWidth="1"/>
    <col min="11580" max="11580" width="9.58203125" bestFit="1" customWidth="1"/>
    <col min="11581" max="11581" width="9.33203125" customWidth="1"/>
    <col min="11583" max="11583" width="7.25" customWidth="1"/>
    <col min="11584" max="11584" width="0" hidden="1" customWidth="1"/>
    <col min="11586" max="11586" width="9.33203125" customWidth="1"/>
    <col min="11587" max="11587" width="10.33203125" customWidth="1"/>
    <col min="11588" max="11588" width="15.83203125" customWidth="1"/>
    <col min="11590" max="11590" width="6.75" customWidth="1"/>
    <col min="11777" max="11777" width="0.33203125" customWidth="1"/>
    <col min="11778" max="11778" width="17.25" customWidth="1"/>
    <col min="11779" max="11779" width="13.33203125" customWidth="1"/>
    <col min="11780" max="11780" width="9.58203125" customWidth="1"/>
    <col min="11781" max="11781" width="13.33203125" customWidth="1"/>
    <col min="11782" max="11782" width="8.58203125" customWidth="1"/>
    <col min="11783" max="11783" width="15.58203125" customWidth="1"/>
    <col min="11784" max="11784" width="16.08203125" customWidth="1"/>
    <col min="11785" max="11785" width="12.5" customWidth="1"/>
    <col min="11786" max="11786" width="12.08203125" customWidth="1"/>
    <col min="11787" max="11787" width="18.08203125" customWidth="1"/>
    <col min="11788" max="11788" width="16.25" customWidth="1"/>
    <col min="11789" max="11790" width="12.83203125" customWidth="1"/>
    <col min="11791" max="11791" width="11.33203125" customWidth="1"/>
    <col min="11792" max="11792" width="11.75" customWidth="1"/>
    <col min="11793" max="11793" width="10.83203125" customWidth="1"/>
    <col min="11794" max="11794" width="16" customWidth="1"/>
    <col min="11795" max="11795" width="14.08203125" customWidth="1"/>
    <col min="11796" max="11796" width="11.75" customWidth="1"/>
    <col min="11797" max="11797" width="13.33203125" customWidth="1"/>
    <col min="11798" max="11798" width="21.58203125" customWidth="1"/>
    <col min="11799" max="11799" width="16.08203125" customWidth="1"/>
    <col min="11800" max="11801" width="14" customWidth="1"/>
    <col min="11802" max="11802" width="9.58203125" customWidth="1"/>
    <col min="11803" max="11803" width="10.75" customWidth="1"/>
    <col min="11804" max="11804" width="9.58203125" customWidth="1"/>
    <col min="11805" max="11805" width="9.25" customWidth="1"/>
    <col min="11806" max="11806" width="9.33203125" customWidth="1"/>
    <col min="11807" max="11808" width="13.25" customWidth="1"/>
    <col min="11809" max="11809" width="8.25" bestFit="1" customWidth="1"/>
    <col min="11810" max="11810" width="10" customWidth="1"/>
    <col min="11812" max="11812" width="9.75" customWidth="1"/>
    <col min="11813" max="11813" width="9.33203125" customWidth="1"/>
    <col min="11814" max="11814" width="10.5" bestFit="1" customWidth="1"/>
    <col min="11821" max="11821" width="9.58203125" customWidth="1"/>
    <col min="11822" max="11822" width="14.75" customWidth="1"/>
    <col min="11823" max="11823" width="11.33203125" customWidth="1"/>
    <col min="11824" max="11824" width="9.83203125" customWidth="1"/>
    <col min="11825" max="11825" width="10.75" customWidth="1"/>
    <col min="11826" max="11826" width="10.08203125" bestFit="1" customWidth="1"/>
    <col min="11827" max="11827" width="12.5" customWidth="1"/>
    <col min="11828" max="11828" width="10.58203125" customWidth="1"/>
    <col min="11831" max="11831" width="15.75" customWidth="1"/>
    <col min="11832" max="11832" width="10" customWidth="1"/>
    <col min="11835" max="11835" width="8.83203125" customWidth="1"/>
    <col min="11836" max="11836" width="9.58203125" bestFit="1" customWidth="1"/>
    <col min="11837" max="11837" width="9.33203125" customWidth="1"/>
    <col min="11839" max="11839" width="7.25" customWidth="1"/>
    <col min="11840" max="11840" width="0" hidden="1" customWidth="1"/>
    <col min="11842" max="11842" width="9.33203125" customWidth="1"/>
    <col min="11843" max="11843" width="10.33203125" customWidth="1"/>
    <col min="11844" max="11844" width="15.83203125" customWidth="1"/>
    <col min="11846" max="11846" width="6.75" customWidth="1"/>
    <col min="12033" max="12033" width="0.33203125" customWidth="1"/>
    <col min="12034" max="12034" width="17.25" customWidth="1"/>
    <col min="12035" max="12035" width="13.33203125" customWidth="1"/>
    <col min="12036" max="12036" width="9.58203125" customWidth="1"/>
    <col min="12037" max="12037" width="13.33203125" customWidth="1"/>
    <col min="12038" max="12038" width="8.58203125" customWidth="1"/>
    <col min="12039" max="12039" width="15.58203125" customWidth="1"/>
    <col min="12040" max="12040" width="16.08203125" customWidth="1"/>
    <col min="12041" max="12041" width="12.5" customWidth="1"/>
    <col min="12042" max="12042" width="12.08203125" customWidth="1"/>
    <col min="12043" max="12043" width="18.08203125" customWidth="1"/>
    <col min="12044" max="12044" width="16.25" customWidth="1"/>
    <col min="12045" max="12046" width="12.83203125" customWidth="1"/>
    <col min="12047" max="12047" width="11.33203125" customWidth="1"/>
    <col min="12048" max="12048" width="11.75" customWidth="1"/>
    <col min="12049" max="12049" width="10.83203125" customWidth="1"/>
    <col min="12050" max="12050" width="16" customWidth="1"/>
    <col min="12051" max="12051" width="14.08203125" customWidth="1"/>
    <col min="12052" max="12052" width="11.75" customWidth="1"/>
    <col min="12053" max="12053" width="13.33203125" customWidth="1"/>
    <col min="12054" max="12054" width="21.58203125" customWidth="1"/>
    <col min="12055" max="12055" width="16.08203125" customWidth="1"/>
    <col min="12056" max="12057" width="14" customWidth="1"/>
    <col min="12058" max="12058" width="9.58203125" customWidth="1"/>
    <col min="12059" max="12059" width="10.75" customWidth="1"/>
    <col min="12060" max="12060" width="9.58203125" customWidth="1"/>
    <col min="12061" max="12061" width="9.25" customWidth="1"/>
    <col min="12062" max="12062" width="9.33203125" customWidth="1"/>
    <col min="12063" max="12064" width="13.25" customWidth="1"/>
    <col min="12065" max="12065" width="8.25" bestFit="1" customWidth="1"/>
    <col min="12066" max="12066" width="10" customWidth="1"/>
    <col min="12068" max="12068" width="9.75" customWidth="1"/>
    <col min="12069" max="12069" width="9.33203125" customWidth="1"/>
    <col min="12070" max="12070" width="10.5" bestFit="1" customWidth="1"/>
    <col min="12077" max="12077" width="9.58203125" customWidth="1"/>
    <col min="12078" max="12078" width="14.75" customWidth="1"/>
    <col min="12079" max="12079" width="11.33203125" customWidth="1"/>
    <col min="12080" max="12080" width="9.83203125" customWidth="1"/>
    <col min="12081" max="12081" width="10.75" customWidth="1"/>
    <col min="12082" max="12082" width="10.08203125" bestFit="1" customWidth="1"/>
    <col min="12083" max="12083" width="12.5" customWidth="1"/>
    <col min="12084" max="12084" width="10.58203125" customWidth="1"/>
    <col min="12087" max="12087" width="15.75" customWidth="1"/>
    <col min="12088" max="12088" width="10" customWidth="1"/>
    <col min="12091" max="12091" width="8.83203125" customWidth="1"/>
    <col min="12092" max="12092" width="9.58203125" bestFit="1" customWidth="1"/>
    <col min="12093" max="12093" width="9.33203125" customWidth="1"/>
    <col min="12095" max="12095" width="7.25" customWidth="1"/>
    <col min="12096" max="12096" width="0" hidden="1" customWidth="1"/>
    <col min="12098" max="12098" width="9.33203125" customWidth="1"/>
    <col min="12099" max="12099" width="10.33203125" customWidth="1"/>
    <col min="12100" max="12100" width="15.83203125" customWidth="1"/>
    <col min="12102" max="12102" width="6.75" customWidth="1"/>
    <col min="12289" max="12289" width="0.33203125" customWidth="1"/>
    <col min="12290" max="12290" width="17.25" customWidth="1"/>
    <col min="12291" max="12291" width="13.33203125" customWidth="1"/>
    <col min="12292" max="12292" width="9.58203125" customWidth="1"/>
    <col min="12293" max="12293" width="13.33203125" customWidth="1"/>
    <col min="12294" max="12294" width="8.58203125" customWidth="1"/>
    <col min="12295" max="12295" width="15.58203125" customWidth="1"/>
    <col min="12296" max="12296" width="16.08203125" customWidth="1"/>
    <col min="12297" max="12297" width="12.5" customWidth="1"/>
    <col min="12298" max="12298" width="12.08203125" customWidth="1"/>
    <col min="12299" max="12299" width="18.08203125" customWidth="1"/>
    <col min="12300" max="12300" width="16.25" customWidth="1"/>
    <col min="12301" max="12302" width="12.83203125" customWidth="1"/>
    <col min="12303" max="12303" width="11.33203125" customWidth="1"/>
    <col min="12304" max="12304" width="11.75" customWidth="1"/>
    <col min="12305" max="12305" width="10.83203125" customWidth="1"/>
    <col min="12306" max="12306" width="16" customWidth="1"/>
    <col min="12307" max="12307" width="14.08203125" customWidth="1"/>
    <col min="12308" max="12308" width="11.75" customWidth="1"/>
    <col min="12309" max="12309" width="13.33203125" customWidth="1"/>
    <col min="12310" max="12310" width="21.58203125" customWidth="1"/>
    <col min="12311" max="12311" width="16.08203125" customWidth="1"/>
    <col min="12312" max="12313" width="14" customWidth="1"/>
    <col min="12314" max="12314" width="9.58203125" customWidth="1"/>
    <col min="12315" max="12315" width="10.75" customWidth="1"/>
    <col min="12316" max="12316" width="9.58203125" customWidth="1"/>
    <col min="12317" max="12317" width="9.25" customWidth="1"/>
    <col min="12318" max="12318" width="9.33203125" customWidth="1"/>
    <col min="12319" max="12320" width="13.25" customWidth="1"/>
    <col min="12321" max="12321" width="8.25" bestFit="1" customWidth="1"/>
    <col min="12322" max="12322" width="10" customWidth="1"/>
    <col min="12324" max="12324" width="9.75" customWidth="1"/>
    <col min="12325" max="12325" width="9.33203125" customWidth="1"/>
    <col min="12326" max="12326" width="10.5" bestFit="1" customWidth="1"/>
    <col min="12333" max="12333" width="9.58203125" customWidth="1"/>
    <col min="12334" max="12334" width="14.75" customWidth="1"/>
    <col min="12335" max="12335" width="11.33203125" customWidth="1"/>
    <col min="12336" max="12336" width="9.83203125" customWidth="1"/>
    <col min="12337" max="12337" width="10.75" customWidth="1"/>
    <col min="12338" max="12338" width="10.08203125" bestFit="1" customWidth="1"/>
    <col min="12339" max="12339" width="12.5" customWidth="1"/>
    <col min="12340" max="12340" width="10.58203125" customWidth="1"/>
    <col min="12343" max="12343" width="15.75" customWidth="1"/>
    <col min="12344" max="12344" width="10" customWidth="1"/>
    <col min="12347" max="12347" width="8.83203125" customWidth="1"/>
    <col min="12348" max="12348" width="9.58203125" bestFit="1" customWidth="1"/>
    <col min="12349" max="12349" width="9.33203125" customWidth="1"/>
    <col min="12351" max="12351" width="7.25" customWidth="1"/>
    <col min="12352" max="12352" width="0" hidden="1" customWidth="1"/>
    <col min="12354" max="12354" width="9.33203125" customWidth="1"/>
    <col min="12355" max="12355" width="10.33203125" customWidth="1"/>
    <col min="12356" max="12356" width="15.83203125" customWidth="1"/>
    <col min="12358" max="12358" width="6.75" customWidth="1"/>
    <col min="12545" max="12545" width="0.33203125" customWidth="1"/>
    <col min="12546" max="12546" width="17.25" customWidth="1"/>
    <col min="12547" max="12547" width="13.33203125" customWidth="1"/>
    <col min="12548" max="12548" width="9.58203125" customWidth="1"/>
    <col min="12549" max="12549" width="13.33203125" customWidth="1"/>
    <col min="12550" max="12550" width="8.58203125" customWidth="1"/>
    <col min="12551" max="12551" width="15.58203125" customWidth="1"/>
    <col min="12552" max="12552" width="16.08203125" customWidth="1"/>
    <col min="12553" max="12553" width="12.5" customWidth="1"/>
    <col min="12554" max="12554" width="12.08203125" customWidth="1"/>
    <col min="12555" max="12555" width="18.08203125" customWidth="1"/>
    <col min="12556" max="12556" width="16.25" customWidth="1"/>
    <col min="12557" max="12558" width="12.83203125" customWidth="1"/>
    <col min="12559" max="12559" width="11.33203125" customWidth="1"/>
    <col min="12560" max="12560" width="11.75" customWidth="1"/>
    <col min="12561" max="12561" width="10.83203125" customWidth="1"/>
    <col min="12562" max="12562" width="16" customWidth="1"/>
    <col min="12563" max="12563" width="14.08203125" customWidth="1"/>
    <col min="12564" max="12564" width="11.75" customWidth="1"/>
    <col min="12565" max="12565" width="13.33203125" customWidth="1"/>
    <col min="12566" max="12566" width="21.58203125" customWidth="1"/>
    <col min="12567" max="12567" width="16.08203125" customWidth="1"/>
    <col min="12568" max="12569" width="14" customWidth="1"/>
    <col min="12570" max="12570" width="9.58203125" customWidth="1"/>
    <col min="12571" max="12571" width="10.75" customWidth="1"/>
    <col min="12572" max="12572" width="9.58203125" customWidth="1"/>
    <col min="12573" max="12573" width="9.25" customWidth="1"/>
    <col min="12574" max="12574" width="9.33203125" customWidth="1"/>
    <col min="12575" max="12576" width="13.25" customWidth="1"/>
    <col min="12577" max="12577" width="8.25" bestFit="1" customWidth="1"/>
    <col min="12578" max="12578" width="10" customWidth="1"/>
    <col min="12580" max="12580" width="9.75" customWidth="1"/>
    <col min="12581" max="12581" width="9.33203125" customWidth="1"/>
    <col min="12582" max="12582" width="10.5" bestFit="1" customWidth="1"/>
    <col min="12589" max="12589" width="9.58203125" customWidth="1"/>
    <col min="12590" max="12590" width="14.75" customWidth="1"/>
    <col min="12591" max="12591" width="11.33203125" customWidth="1"/>
    <col min="12592" max="12592" width="9.83203125" customWidth="1"/>
    <col min="12593" max="12593" width="10.75" customWidth="1"/>
    <col min="12594" max="12594" width="10.08203125" bestFit="1" customWidth="1"/>
    <col min="12595" max="12595" width="12.5" customWidth="1"/>
    <col min="12596" max="12596" width="10.58203125" customWidth="1"/>
    <col min="12599" max="12599" width="15.75" customWidth="1"/>
    <col min="12600" max="12600" width="10" customWidth="1"/>
    <col min="12603" max="12603" width="8.83203125" customWidth="1"/>
    <col min="12604" max="12604" width="9.58203125" bestFit="1" customWidth="1"/>
    <col min="12605" max="12605" width="9.33203125" customWidth="1"/>
    <col min="12607" max="12607" width="7.25" customWidth="1"/>
    <col min="12608" max="12608" width="0" hidden="1" customWidth="1"/>
    <col min="12610" max="12610" width="9.33203125" customWidth="1"/>
    <col min="12611" max="12611" width="10.33203125" customWidth="1"/>
    <col min="12612" max="12612" width="15.83203125" customWidth="1"/>
    <col min="12614" max="12614" width="6.75" customWidth="1"/>
    <col min="12801" max="12801" width="0.33203125" customWidth="1"/>
    <col min="12802" max="12802" width="17.25" customWidth="1"/>
    <col min="12803" max="12803" width="13.33203125" customWidth="1"/>
    <col min="12804" max="12804" width="9.58203125" customWidth="1"/>
    <col min="12805" max="12805" width="13.33203125" customWidth="1"/>
    <col min="12806" max="12806" width="8.58203125" customWidth="1"/>
    <col min="12807" max="12807" width="15.58203125" customWidth="1"/>
    <col min="12808" max="12808" width="16.08203125" customWidth="1"/>
    <col min="12809" max="12809" width="12.5" customWidth="1"/>
    <col min="12810" max="12810" width="12.08203125" customWidth="1"/>
    <col min="12811" max="12811" width="18.08203125" customWidth="1"/>
    <col min="12812" max="12812" width="16.25" customWidth="1"/>
    <col min="12813" max="12814" width="12.83203125" customWidth="1"/>
    <col min="12815" max="12815" width="11.33203125" customWidth="1"/>
    <col min="12816" max="12816" width="11.75" customWidth="1"/>
    <col min="12817" max="12817" width="10.83203125" customWidth="1"/>
    <col min="12818" max="12818" width="16" customWidth="1"/>
    <col min="12819" max="12819" width="14.08203125" customWidth="1"/>
    <col min="12820" max="12820" width="11.75" customWidth="1"/>
    <col min="12821" max="12821" width="13.33203125" customWidth="1"/>
    <col min="12822" max="12822" width="21.58203125" customWidth="1"/>
    <col min="12823" max="12823" width="16.08203125" customWidth="1"/>
    <col min="12824" max="12825" width="14" customWidth="1"/>
    <col min="12826" max="12826" width="9.58203125" customWidth="1"/>
    <col min="12827" max="12827" width="10.75" customWidth="1"/>
    <col min="12828" max="12828" width="9.58203125" customWidth="1"/>
    <col min="12829" max="12829" width="9.25" customWidth="1"/>
    <col min="12830" max="12830" width="9.33203125" customWidth="1"/>
    <col min="12831" max="12832" width="13.25" customWidth="1"/>
    <col min="12833" max="12833" width="8.25" bestFit="1" customWidth="1"/>
    <col min="12834" max="12834" width="10" customWidth="1"/>
    <col min="12836" max="12836" width="9.75" customWidth="1"/>
    <col min="12837" max="12837" width="9.33203125" customWidth="1"/>
    <col min="12838" max="12838" width="10.5" bestFit="1" customWidth="1"/>
    <col min="12845" max="12845" width="9.58203125" customWidth="1"/>
    <col min="12846" max="12846" width="14.75" customWidth="1"/>
    <col min="12847" max="12847" width="11.33203125" customWidth="1"/>
    <col min="12848" max="12848" width="9.83203125" customWidth="1"/>
    <col min="12849" max="12849" width="10.75" customWidth="1"/>
    <col min="12850" max="12850" width="10.08203125" bestFit="1" customWidth="1"/>
    <col min="12851" max="12851" width="12.5" customWidth="1"/>
    <col min="12852" max="12852" width="10.58203125" customWidth="1"/>
    <col min="12855" max="12855" width="15.75" customWidth="1"/>
    <col min="12856" max="12856" width="10" customWidth="1"/>
    <col min="12859" max="12859" width="8.83203125" customWidth="1"/>
    <col min="12860" max="12860" width="9.58203125" bestFit="1" customWidth="1"/>
    <col min="12861" max="12861" width="9.33203125" customWidth="1"/>
    <col min="12863" max="12863" width="7.25" customWidth="1"/>
    <col min="12864" max="12864" width="0" hidden="1" customWidth="1"/>
    <col min="12866" max="12866" width="9.33203125" customWidth="1"/>
    <col min="12867" max="12867" width="10.33203125" customWidth="1"/>
    <col min="12868" max="12868" width="15.83203125" customWidth="1"/>
    <col min="12870" max="12870" width="6.75" customWidth="1"/>
    <col min="13057" max="13057" width="0.33203125" customWidth="1"/>
    <col min="13058" max="13058" width="17.25" customWidth="1"/>
    <col min="13059" max="13059" width="13.33203125" customWidth="1"/>
    <col min="13060" max="13060" width="9.58203125" customWidth="1"/>
    <col min="13061" max="13061" width="13.33203125" customWidth="1"/>
    <col min="13062" max="13062" width="8.58203125" customWidth="1"/>
    <col min="13063" max="13063" width="15.58203125" customWidth="1"/>
    <col min="13064" max="13064" width="16.08203125" customWidth="1"/>
    <col min="13065" max="13065" width="12.5" customWidth="1"/>
    <col min="13066" max="13066" width="12.08203125" customWidth="1"/>
    <col min="13067" max="13067" width="18.08203125" customWidth="1"/>
    <col min="13068" max="13068" width="16.25" customWidth="1"/>
    <col min="13069" max="13070" width="12.83203125" customWidth="1"/>
    <col min="13071" max="13071" width="11.33203125" customWidth="1"/>
    <col min="13072" max="13072" width="11.75" customWidth="1"/>
    <col min="13073" max="13073" width="10.83203125" customWidth="1"/>
    <col min="13074" max="13074" width="16" customWidth="1"/>
    <col min="13075" max="13075" width="14.08203125" customWidth="1"/>
    <col min="13076" max="13076" width="11.75" customWidth="1"/>
    <col min="13077" max="13077" width="13.33203125" customWidth="1"/>
    <col min="13078" max="13078" width="21.58203125" customWidth="1"/>
    <col min="13079" max="13079" width="16.08203125" customWidth="1"/>
    <col min="13080" max="13081" width="14" customWidth="1"/>
    <col min="13082" max="13082" width="9.58203125" customWidth="1"/>
    <col min="13083" max="13083" width="10.75" customWidth="1"/>
    <col min="13084" max="13084" width="9.58203125" customWidth="1"/>
    <col min="13085" max="13085" width="9.25" customWidth="1"/>
    <col min="13086" max="13086" width="9.33203125" customWidth="1"/>
    <col min="13087" max="13088" width="13.25" customWidth="1"/>
    <col min="13089" max="13089" width="8.25" bestFit="1" customWidth="1"/>
    <col min="13090" max="13090" width="10" customWidth="1"/>
    <col min="13092" max="13092" width="9.75" customWidth="1"/>
    <col min="13093" max="13093" width="9.33203125" customWidth="1"/>
    <col min="13094" max="13094" width="10.5" bestFit="1" customWidth="1"/>
    <col min="13101" max="13101" width="9.58203125" customWidth="1"/>
    <col min="13102" max="13102" width="14.75" customWidth="1"/>
    <col min="13103" max="13103" width="11.33203125" customWidth="1"/>
    <col min="13104" max="13104" width="9.83203125" customWidth="1"/>
    <col min="13105" max="13105" width="10.75" customWidth="1"/>
    <col min="13106" max="13106" width="10.08203125" bestFit="1" customWidth="1"/>
    <col min="13107" max="13107" width="12.5" customWidth="1"/>
    <col min="13108" max="13108" width="10.58203125" customWidth="1"/>
    <col min="13111" max="13111" width="15.75" customWidth="1"/>
    <col min="13112" max="13112" width="10" customWidth="1"/>
    <col min="13115" max="13115" width="8.83203125" customWidth="1"/>
    <col min="13116" max="13116" width="9.58203125" bestFit="1" customWidth="1"/>
    <col min="13117" max="13117" width="9.33203125" customWidth="1"/>
    <col min="13119" max="13119" width="7.25" customWidth="1"/>
    <col min="13120" max="13120" width="0" hidden="1" customWidth="1"/>
    <col min="13122" max="13122" width="9.33203125" customWidth="1"/>
    <col min="13123" max="13123" width="10.33203125" customWidth="1"/>
    <col min="13124" max="13124" width="15.83203125" customWidth="1"/>
    <col min="13126" max="13126" width="6.75" customWidth="1"/>
    <col min="13313" max="13313" width="0.33203125" customWidth="1"/>
    <col min="13314" max="13314" width="17.25" customWidth="1"/>
    <col min="13315" max="13315" width="13.33203125" customWidth="1"/>
    <col min="13316" max="13316" width="9.58203125" customWidth="1"/>
    <col min="13317" max="13317" width="13.33203125" customWidth="1"/>
    <col min="13318" max="13318" width="8.58203125" customWidth="1"/>
    <col min="13319" max="13319" width="15.58203125" customWidth="1"/>
    <col min="13320" max="13320" width="16.08203125" customWidth="1"/>
    <col min="13321" max="13321" width="12.5" customWidth="1"/>
    <col min="13322" max="13322" width="12.08203125" customWidth="1"/>
    <col min="13323" max="13323" width="18.08203125" customWidth="1"/>
    <col min="13324" max="13324" width="16.25" customWidth="1"/>
    <col min="13325" max="13326" width="12.83203125" customWidth="1"/>
    <col min="13327" max="13327" width="11.33203125" customWidth="1"/>
    <col min="13328" max="13328" width="11.75" customWidth="1"/>
    <col min="13329" max="13329" width="10.83203125" customWidth="1"/>
    <col min="13330" max="13330" width="16" customWidth="1"/>
    <col min="13331" max="13331" width="14.08203125" customWidth="1"/>
    <col min="13332" max="13332" width="11.75" customWidth="1"/>
    <col min="13333" max="13333" width="13.33203125" customWidth="1"/>
    <col min="13334" max="13334" width="21.58203125" customWidth="1"/>
    <col min="13335" max="13335" width="16.08203125" customWidth="1"/>
    <col min="13336" max="13337" width="14" customWidth="1"/>
    <col min="13338" max="13338" width="9.58203125" customWidth="1"/>
    <col min="13339" max="13339" width="10.75" customWidth="1"/>
    <col min="13340" max="13340" width="9.58203125" customWidth="1"/>
    <col min="13341" max="13341" width="9.25" customWidth="1"/>
    <col min="13342" max="13342" width="9.33203125" customWidth="1"/>
    <col min="13343" max="13344" width="13.25" customWidth="1"/>
    <col min="13345" max="13345" width="8.25" bestFit="1" customWidth="1"/>
    <col min="13346" max="13346" width="10" customWidth="1"/>
    <col min="13348" max="13348" width="9.75" customWidth="1"/>
    <col min="13349" max="13349" width="9.33203125" customWidth="1"/>
    <col min="13350" max="13350" width="10.5" bestFit="1" customWidth="1"/>
    <col min="13357" max="13357" width="9.58203125" customWidth="1"/>
    <col min="13358" max="13358" width="14.75" customWidth="1"/>
    <col min="13359" max="13359" width="11.33203125" customWidth="1"/>
    <col min="13360" max="13360" width="9.83203125" customWidth="1"/>
    <col min="13361" max="13361" width="10.75" customWidth="1"/>
    <col min="13362" max="13362" width="10.08203125" bestFit="1" customWidth="1"/>
    <col min="13363" max="13363" width="12.5" customWidth="1"/>
    <col min="13364" max="13364" width="10.58203125" customWidth="1"/>
    <col min="13367" max="13367" width="15.75" customWidth="1"/>
    <col min="13368" max="13368" width="10" customWidth="1"/>
    <col min="13371" max="13371" width="8.83203125" customWidth="1"/>
    <col min="13372" max="13372" width="9.58203125" bestFit="1" customWidth="1"/>
    <col min="13373" max="13373" width="9.33203125" customWidth="1"/>
    <col min="13375" max="13375" width="7.25" customWidth="1"/>
    <col min="13376" max="13376" width="0" hidden="1" customWidth="1"/>
    <col min="13378" max="13378" width="9.33203125" customWidth="1"/>
    <col min="13379" max="13379" width="10.33203125" customWidth="1"/>
    <col min="13380" max="13380" width="15.83203125" customWidth="1"/>
    <col min="13382" max="13382" width="6.75" customWidth="1"/>
    <col min="13569" max="13569" width="0.33203125" customWidth="1"/>
    <col min="13570" max="13570" width="17.25" customWidth="1"/>
    <col min="13571" max="13571" width="13.33203125" customWidth="1"/>
    <col min="13572" max="13572" width="9.58203125" customWidth="1"/>
    <col min="13573" max="13573" width="13.33203125" customWidth="1"/>
    <col min="13574" max="13574" width="8.58203125" customWidth="1"/>
    <col min="13575" max="13575" width="15.58203125" customWidth="1"/>
    <col min="13576" max="13576" width="16.08203125" customWidth="1"/>
    <col min="13577" max="13577" width="12.5" customWidth="1"/>
    <col min="13578" max="13578" width="12.08203125" customWidth="1"/>
    <col min="13579" max="13579" width="18.08203125" customWidth="1"/>
    <col min="13580" max="13580" width="16.25" customWidth="1"/>
    <col min="13581" max="13582" width="12.83203125" customWidth="1"/>
    <col min="13583" max="13583" width="11.33203125" customWidth="1"/>
    <col min="13584" max="13584" width="11.75" customWidth="1"/>
    <col min="13585" max="13585" width="10.83203125" customWidth="1"/>
    <col min="13586" max="13586" width="16" customWidth="1"/>
    <col min="13587" max="13587" width="14.08203125" customWidth="1"/>
    <col min="13588" max="13588" width="11.75" customWidth="1"/>
    <col min="13589" max="13589" width="13.33203125" customWidth="1"/>
    <col min="13590" max="13590" width="21.58203125" customWidth="1"/>
    <col min="13591" max="13591" width="16.08203125" customWidth="1"/>
    <col min="13592" max="13593" width="14" customWidth="1"/>
    <col min="13594" max="13594" width="9.58203125" customWidth="1"/>
    <col min="13595" max="13595" width="10.75" customWidth="1"/>
    <col min="13596" max="13596" width="9.58203125" customWidth="1"/>
    <col min="13597" max="13597" width="9.25" customWidth="1"/>
    <col min="13598" max="13598" width="9.33203125" customWidth="1"/>
    <col min="13599" max="13600" width="13.25" customWidth="1"/>
    <col min="13601" max="13601" width="8.25" bestFit="1" customWidth="1"/>
    <col min="13602" max="13602" width="10" customWidth="1"/>
    <col min="13604" max="13604" width="9.75" customWidth="1"/>
    <col min="13605" max="13605" width="9.33203125" customWidth="1"/>
    <col min="13606" max="13606" width="10.5" bestFit="1" customWidth="1"/>
    <col min="13613" max="13613" width="9.58203125" customWidth="1"/>
    <col min="13614" max="13614" width="14.75" customWidth="1"/>
    <col min="13615" max="13615" width="11.33203125" customWidth="1"/>
    <col min="13616" max="13616" width="9.83203125" customWidth="1"/>
    <col min="13617" max="13617" width="10.75" customWidth="1"/>
    <col min="13618" max="13618" width="10.08203125" bestFit="1" customWidth="1"/>
    <col min="13619" max="13619" width="12.5" customWidth="1"/>
    <col min="13620" max="13620" width="10.58203125" customWidth="1"/>
    <col min="13623" max="13623" width="15.75" customWidth="1"/>
    <col min="13624" max="13624" width="10" customWidth="1"/>
    <col min="13627" max="13627" width="8.83203125" customWidth="1"/>
    <col min="13628" max="13628" width="9.58203125" bestFit="1" customWidth="1"/>
    <col min="13629" max="13629" width="9.33203125" customWidth="1"/>
    <col min="13631" max="13631" width="7.25" customWidth="1"/>
    <col min="13632" max="13632" width="0" hidden="1" customWidth="1"/>
    <col min="13634" max="13634" width="9.33203125" customWidth="1"/>
    <col min="13635" max="13635" width="10.33203125" customWidth="1"/>
    <col min="13636" max="13636" width="15.83203125" customWidth="1"/>
    <col min="13638" max="13638" width="6.75" customWidth="1"/>
    <col min="13825" max="13825" width="0.33203125" customWidth="1"/>
    <col min="13826" max="13826" width="17.25" customWidth="1"/>
    <col min="13827" max="13827" width="13.33203125" customWidth="1"/>
    <col min="13828" max="13828" width="9.58203125" customWidth="1"/>
    <col min="13829" max="13829" width="13.33203125" customWidth="1"/>
    <col min="13830" max="13830" width="8.58203125" customWidth="1"/>
    <col min="13831" max="13831" width="15.58203125" customWidth="1"/>
    <col min="13832" max="13832" width="16.08203125" customWidth="1"/>
    <col min="13833" max="13833" width="12.5" customWidth="1"/>
    <col min="13834" max="13834" width="12.08203125" customWidth="1"/>
    <col min="13835" max="13835" width="18.08203125" customWidth="1"/>
    <col min="13836" max="13836" width="16.25" customWidth="1"/>
    <col min="13837" max="13838" width="12.83203125" customWidth="1"/>
    <col min="13839" max="13839" width="11.33203125" customWidth="1"/>
    <col min="13840" max="13840" width="11.75" customWidth="1"/>
    <col min="13841" max="13841" width="10.83203125" customWidth="1"/>
    <col min="13842" max="13842" width="16" customWidth="1"/>
    <col min="13843" max="13843" width="14.08203125" customWidth="1"/>
    <col min="13844" max="13844" width="11.75" customWidth="1"/>
    <col min="13845" max="13845" width="13.33203125" customWidth="1"/>
    <col min="13846" max="13846" width="21.58203125" customWidth="1"/>
    <col min="13847" max="13847" width="16.08203125" customWidth="1"/>
    <col min="13848" max="13849" width="14" customWidth="1"/>
    <col min="13850" max="13850" width="9.58203125" customWidth="1"/>
    <col min="13851" max="13851" width="10.75" customWidth="1"/>
    <col min="13852" max="13852" width="9.58203125" customWidth="1"/>
    <col min="13853" max="13853" width="9.25" customWidth="1"/>
    <col min="13854" max="13854" width="9.33203125" customWidth="1"/>
    <col min="13855" max="13856" width="13.25" customWidth="1"/>
    <col min="13857" max="13857" width="8.25" bestFit="1" customWidth="1"/>
    <col min="13858" max="13858" width="10" customWidth="1"/>
    <col min="13860" max="13860" width="9.75" customWidth="1"/>
    <col min="13861" max="13861" width="9.33203125" customWidth="1"/>
    <col min="13862" max="13862" width="10.5" bestFit="1" customWidth="1"/>
    <col min="13869" max="13869" width="9.58203125" customWidth="1"/>
    <col min="13870" max="13870" width="14.75" customWidth="1"/>
    <col min="13871" max="13871" width="11.33203125" customWidth="1"/>
    <col min="13872" max="13872" width="9.83203125" customWidth="1"/>
    <col min="13873" max="13873" width="10.75" customWidth="1"/>
    <col min="13874" max="13874" width="10.08203125" bestFit="1" customWidth="1"/>
    <col min="13875" max="13875" width="12.5" customWidth="1"/>
    <col min="13876" max="13876" width="10.58203125" customWidth="1"/>
    <col min="13879" max="13879" width="15.75" customWidth="1"/>
    <col min="13880" max="13880" width="10" customWidth="1"/>
    <col min="13883" max="13883" width="8.83203125" customWidth="1"/>
    <col min="13884" max="13884" width="9.58203125" bestFit="1" customWidth="1"/>
    <col min="13885" max="13885" width="9.33203125" customWidth="1"/>
    <col min="13887" max="13887" width="7.25" customWidth="1"/>
    <col min="13888" max="13888" width="0" hidden="1" customWidth="1"/>
    <col min="13890" max="13890" width="9.33203125" customWidth="1"/>
    <col min="13891" max="13891" width="10.33203125" customWidth="1"/>
    <col min="13892" max="13892" width="15.83203125" customWidth="1"/>
    <col min="13894" max="13894" width="6.75" customWidth="1"/>
    <col min="14081" max="14081" width="0.33203125" customWidth="1"/>
    <col min="14082" max="14082" width="17.25" customWidth="1"/>
    <col min="14083" max="14083" width="13.33203125" customWidth="1"/>
    <col min="14084" max="14084" width="9.58203125" customWidth="1"/>
    <col min="14085" max="14085" width="13.33203125" customWidth="1"/>
    <col min="14086" max="14086" width="8.58203125" customWidth="1"/>
    <col min="14087" max="14087" width="15.58203125" customWidth="1"/>
    <col min="14088" max="14088" width="16.08203125" customWidth="1"/>
    <col min="14089" max="14089" width="12.5" customWidth="1"/>
    <col min="14090" max="14090" width="12.08203125" customWidth="1"/>
    <col min="14091" max="14091" width="18.08203125" customWidth="1"/>
    <col min="14092" max="14092" width="16.25" customWidth="1"/>
    <col min="14093" max="14094" width="12.83203125" customWidth="1"/>
    <col min="14095" max="14095" width="11.33203125" customWidth="1"/>
    <col min="14096" max="14096" width="11.75" customWidth="1"/>
    <col min="14097" max="14097" width="10.83203125" customWidth="1"/>
    <col min="14098" max="14098" width="16" customWidth="1"/>
    <col min="14099" max="14099" width="14.08203125" customWidth="1"/>
    <col min="14100" max="14100" width="11.75" customWidth="1"/>
    <col min="14101" max="14101" width="13.33203125" customWidth="1"/>
    <col min="14102" max="14102" width="21.58203125" customWidth="1"/>
    <col min="14103" max="14103" width="16.08203125" customWidth="1"/>
    <col min="14104" max="14105" width="14" customWidth="1"/>
    <col min="14106" max="14106" width="9.58203125" customWidth="1"/>
    <col min="14107" max="14107" width="10.75" customWidth="1"/>
    <col min="14108" max="14108" width="9.58203125" customWidth="1"/>
    <col min="14109" max="14109" width="9.25" customWidth="1"/>
    <col min="14110" max="14110" width="9.33203125" customWidth="1"/>
    <col min="14111" max="14112" width="13.25" customWidth="1"/>
    <col min="14113" max="14113" width="8.25" bestFit="1" customWidth="1"/>
    <col min="14114" max="14114" width="10" customWidth="1"/>
    <col min="14116" max="14116" width="9.75" customWidth="1"/>
    <col min="14117" max="14117" width="9.33203125" customWidth="1"/>
    <col min="14118" max="14118" width="10.5" bestFit="1" customWidth="1"/>
    <col min="14125" max="14125" width="9.58203125" customWidth="1"/>
    <col min="14126" max="14126" width="14.75" customWidth="1"/>
    <col min="14127" max="14127" width="11.33203125" customWidth="1"/>
    <col min="14128" max="14128" width="9.83203125" customWidth="1"/>
    <col min="14129" max="14129" width="10.75" customWidth="1"/>
    <col min="14130" max="14130" width="10.08203125" bestFit="1" customWidth="1"/>
    <col min="14131" max="14131" width="12.5" customWidth="1"/>
    <col min="14132" max="14132" width="10.58203125" customWidth="1"/>
    <col min="14135" max="14135" width="15.75" customWidth="1"/>
    <col min="14136" max="14136" width="10" customWidth="1"/>
    <col min="14139" max="14139" width="8.83203125" customWidth="1"/>
    <col min="14140" max="14140" width="9.58203125" bestFit="1" customWidth="1"/>
    <col min="14141" max="14141" width="9.33203125" customWidth="1"/>
    <col min="14143" max="14143" width="7.25" customWidth="1"/>
    <col min="14144" max="14144" width="0" hidden="1" customWidth="1"/>
    <col min="14146" max="14146" width="9.33203125" customWidth="1"/>
    <col min="14147" max="14147" width="10.33203125" customWidth="1"/>
    <col min="14148" max="14148" width="15.83203125" customWidth="1"/>
    <col min="14150" max="14150" width="6.75" customWidth="1"/>
    <col min="14337" max="14337" width="0.33203125" customWidth="1"/>
    <col min="14338" max="14338" width="17.25" customWidth="1"/>
    <col min="14339" max="14339" width="13.33203125" customWidth="1"/>
    <col min="14340" max="14340" width="9.58203125" customWidth="1"/>
    <col min="14341" max="14341" width="13.33203125" customWidth="1"/>
    <col min="14342" max="14342" width="8.58203125" customWidth="1"/>
    <col min="14343" max="14343" width="15.58203125" customWidth="1"/>
    <col min="14344" max="14344" width="16.08203125" customWidth="1"/>
    <col min="14345" max="14345" width="12.5" customWidth="1"/>
    <col min="14346" max="14346" width="12.08203125" customWidth="1"/>
    <col min="14347" max="14347" width="18.08203125" customWidth="1"/>
    <col min="14348" max="14348" width="16.25" customWidth="1"/>
    <col min="14349" max="14350" width="12.83203125" customWidth="1"/>
    <col min="14351" max="14351" width="11.33203125" customWidth="1"/>
    <col min="14352" max="14352" width="11.75" customWidth="1"/>
    <col min="14353" max="14353" width="10.83203125" customWidth="1"/>
    <col min="14354" max="14354" width="16" customWidth="1"/>
    <col min="14355" max="14355" width="14.08203125" customWidth="1"/>
    <col min="14356" max="14356" width="11.75" customWidth="1"/>
    <col min="14357" max="14357" width="13.33203125" customWidth="1"/>
    <col min="14358" max="14358" width="21.58203125" customWidth="1"/>
    <col min="14359" max="14359" width="16.08203125" customWidth="1"/>
    <col min="14360" max="14361" width="14" customWidth="1"/>
    <col min="14362" max="14362" width="9.58203125" customWidth="1"/>
    <col min="14363" max="14363" width="10.75" customWidth="1"/>
    <col min="14364" max="14364" width="9.58203125" customWidth="1"/>
    <col min="14365" max="14365" width="9.25" customWidth="1"/>
    <col min="14366" max="14366" width="9.33203125" customWidth="1"/>
    <col min="14367" max="14368" width="13.25" customWidth="1"/>
    <col min="14369" max="14369" width="8.25" bestFit="1" customWidth="1"/>
    <col min="14370" max="14370" width="10" customWidth="1"/>
    <col min="14372" max="14372" width="9.75" customWidth="1"/>
    <col min="14373" max="14373" width="9.33203125" customWidth="1"/>
    <col min="14374" max="14374" width="10.5" bestFit="1" customWidth="1"/>
    <col min="14381" max="14381" width="9.58203125" customWidth="1"/>
    <col min="14382" max="14382" width="14.75" customWidth="1"/>
    <col min="14383" max="14383" width="11.33203125" customWidth="1"/>
    <col min="14384" max="14384" width="9.83203125" customWidth="1"/>
    <col min="14385" max="14385" width="10.75" customWidth="1"/>
    <col min="14386" max="14386" width="10.08203125" bestFit="1" customWidth="1"/>
    <col min="14387" max="14387" width="12.5" customWidth="1"/>
    <col min="14388" max="14388" width="10.58203125" customWidth="1"/>
    <col min="14391" max="14391" width="15.75" customWidth="1"/>
    <col min="14392" max="14392" width="10" customWidth="1"/>
    <col min="14395" max="14395" width="8.83203125" customWidth="1"/>
    <col min="14396" max="14396" width="9.58203125" bestFit="1" customWidth="1"/>
    <col min="14397" max="14397" width="9.33203125" customWidth="1"/>
    <col min="14399" max="14399" width="7.25" customWidth="1"/>
    <col min="14400" max="14400" width="0" hidden="1" customWidth="1"/>
    <col min="14402" max="14402" width="9.33203125" customWidth="1"/>
    <col min="14403" max="14403" width="10.33203125" customWidth="1"/>
    <col min="14404" max="14404" width="15.83203125" customWidth="1"/>
    <col min="14406" max="14406" width="6.75" customWidth="1"/>
    <col min="14593" max="14593" width="0.33203125" customWidth="1"/>
    <col min="14594" max="14594" width="17.25" customWidth="1"/>
    <col min="14595" max="14595" width="13.33203125" customWidth="1"/>
    <col min="14596" max="14596" width="9.58203125" customWidth="1"/>
    <col min="14597" max="14597" width="13.33203125" customWidth="1"/>
    <col min="14598" max="14598" width="8.58203125" customWidth="1"/>
    <col min="14599" max="14599" width="15.58203125" customWidth="1"/>
    <col min="14600" max="14600" width="16.08203125" customWidth="1"/>
    <col min="14601" max="14601" width="12.5" customWidth="1"/>
    <col min="14602" max="14602" width="12.08203125" customWidth="1"/>
    <col min="14603" max="14603" width="18.08203125" customWidth="1"/>
    <col min="14604" max="14604" width="16.25" customWidth="1"/>
    <col min="14605" max="14606" width="12.83203125" customWidth="1"/>
    <col min="14607" max="14607" width="11.33203125" customWidth="1"/>
    <col min="14608" max="14608" width="11.75" customWidth="1"/>
    <col min="14609" max="14609" width="10.83203125" customWidth="1"/>
    <col min="14610" max="14610" width="16" customWidth="1"/>
    <col min="14611" max="14611" width="14.08203125" customWidth="1"/>
    <col min="14612" max="14612" width="11.75" customWidth="1"/>
    <col min="14613" max="14613" width="13.33203125" customWidth="1"/>
    <col min="14614" max="14614" width="21.58203125" customWidth="1"/>
    <col min="14615" max="14615" width="16.08203125" customWidth="1"/>
    <col min="14616" max="14617" width="14" customWidth="1"/>
    <col min="14618" max="14618" width="9.58203125" customWidth="1"/>
    <col min="14619" max="14619" width="10.75" customWidth="1"/>
    <col min="14620" max="14620" width="9.58203125" customWidth="1"/>
    <col min="14621" max="14621" width="9.25" customWidth="1"/>
    <col min="14622" max="14622" width="9.33203125" customWidth="1"/>
    <col min="14623" max="14624" width="13.25" customWidth="1"/>
    <col min="14625" max="14625" width="8.25" bestFit="1" customWidth="1"/>
    <col min="14626" max="14626" width="10" customWidth="1"/>
    <col min="14628" max="14628" width="9.75" customWidth="1"/>
    <col min="14629" max="14629" width="9.33203125" customWidth="1"/>
    <col min="14630" max="14630" width="10.5" bestFit="1" customWidth="1"/>
    <col min="14637" max="14637" width="9.58203125" customWidth="1"/>
    <col min="14638" max="14638" width="14.75" customWidth="1"/>
    <col min="14639" max="14639" width="11.33203125" customWidth="1"/>
    <col min="14640" max="14640" width="9.83203125" customWidth="1"/>
    <col min="14641" max="14641" width="10.75" customWidth="1"/>
    <col min="14642" max="14642" width="10.08203125" bestFit="1" customWidth="1"/>
    <col min="14643" max="14643" width="12.5" customWidth="1"/>
    <col min="14644" max="14644" width="10.58203125" customWidth="1"/>
    <col min="14647" max="14647" width="15.75" customWidth="1"/>
    <col min="14648" max="14648" width="10" customWidth="1"/>
    <col min="14651" max="14651" width="8.83203125" customWidth="1"/>
    <col min="14652" max="14652" width="9.58203125" bestFit="1" customWidth="1"/>
    <col min="14653" max="14653" width="9.33203125" customWidth="1"/>
    <col min="14655" max="14655" width="7.25" customWidth="1"/>
    <col min="14656" max="14656" width="0" hidden="1" customWidth="1"/>
    <col min="14658" max="14658" width="9.33203125" customWidth="1"/>
    <col min="14659" max="14659" width="10.33203125" customWidth="1"/>
    <col min="14660" max="14660" width="15.83203125" customWidth="1"/>
    <col min="14662" max="14662" width="6.75" customWidth="1"/>
    <col min="14849" max="14849" width="0.33203125" customWidth="1"/>
    <col min="14850" max="14850" width="17.25" customWidth="1"/>
    <col min="14851" max="14851" width="13.33203125" customWidth="1"/>
    <col min="14852" max="14852" width="9.58203125" customWidth="1"/>
    <col min="14853" max="14853" width="13.33203125" customWidth="1"/>
    <col min="14854" max="14854" width="8.58203125" customWidth="1"/>
    <col min="14855" max="14855" width="15.58203125" customWidth="1"/>
    <col min="14856" max="14856" width="16.08203125" customWidth="1"/>
    <col min="14857" max="14857" width="12.5" customWidth="1"/>
    <col min="14858" max="14858" width="12.08203125" customWidth="1"/>
    <col min="14859" max="14859" width="18.08203125" customWidth="1"/>
    <col min="14860" max="14860" width="16.25" customWidth="1"/>
    <col min="14861" max="14862" width="12.83203125" customWidth="1"/>
    <col min="14863" max="14863" width="11.33203125" customWidth="1"/>
    <col min="14864" max="14864" width="11.75" customWidth="1"/>
    <col min="14865" max="14865" width="10.83203125" customWidth="1"/>
    <col min="14866" max="14866" width="16" customWidth="1"/>
    <col min="14867" max="14867" width="14.08203125" customWidth="1"/>
    <col min="14868" max="14868" width="11.75" customWidth="1"/>
    <col min="14869" max="14869" width="13.33203125" customWidth="1"/>
    <col min="14870" max="14870" width="21.58203125" customWidth="1"/>
    <col min="14871" max="14871" width="16.08203125" customWidth="1"/>
    <col min="14872" max="14873" width="14" customWidth="1"/>
    <col min="14874" max="14874" width="9.58203125" customWidth="1"/>
    <col min="14875" max="14875" width="10.75" customWidth="1"/>
    <col min="14876" max="14876" width="9.58203125" customWidth="1"/>
    <col min="14877" max="14877" width="9.25" customWidth="1"/>
    <col min="14878" max="14878" width="9.33203125" customWidth="1"/>
    <col min="14879" max="14880" width="13.25" customWidth="1"/>
    <col min="14881" max="14881" width="8.25" bestFit="1" customWidth="1"/>
    <col min="14882" max="14882" width="10" customWidth="1"/>
    <col min="14884" max="14884" width="9.75" customWidth="1"/>
    <col min="14885" max="14885" width="9.33203125" customWidth="1"/>
    <col min="14886" max="14886" width="10.5" bestFit="1" customWidth="1"/>
    <col min="14893" max="14893" width="9.58203125" customWidth="1"/>
    <col min="14894" max="14894" width="14.75" customWidth="1"/>
    <col min="14895" max="14895" width="11.33203125" customWidth="1"/>
    <col min="14896" max="14896" width="9.83203125" customWidth="1"/>
    <col min="14897" max="14897" width="10.75" customWidth="1"/>
    <col min="14898" max="14898" width="10.08203125" bestFit="1" customWidth="1"/>
    <col min="14899" max="14899" width="12.5" customWidth="1"/>
    <col min="14900" max="14900" width="10.58203125" customWidth="1"/>
    <col min="14903" max="14903" width="15.75" customWidth="1"/>
    <col min="14904" max="14904" width="10" customWidth="1"/>
    <col min="14907" max="14907" width="8.83203125" customWidth="1"/>
    <col min="14908" max="14908" width="9.58203125" bestFit="1" customWidth="1"/>
    <col min="14909" max="14909" width="9.33203125" customWidth="1"/>
    <col min="14911" max="14911" width="7.25" customWidth="1"/>
    <col min="14912" max="14912" width="0" hidden="1" customWidth="1"/>
    <col min="14914" max="14914" width="9.33203125" customWidth="1"/>
    <col min="14915" max="14915" width="10.33203125" customWidth="1"/>
    <col min="14916" max="14916" width="15.83203125" customWidth="1"/>
    <col min="14918" max="14918" width="6.75" customWidth="1"/>
    <col min="15105" max="15105" width="0.33203125" customWidth="1"/>
    <col min="15106" max="15106" width="17.25" customWidth="1"/>
    <col min="15107" max="15107" width="13.33203125" customWidth="1"/>
    <col min="15108" max="15108" width="9.58203125" customWidth="1"/>
    <col min="15109" max="15109" width="13.33203125" customWidth="1"/>
    <col min="15110" max="15110" width="8.58203125" customWidth="1"/>
    <col min="15111" max="15111" width="15.58203125" customWidth="1"/>
    <col min="15112" max="15112" width="16.08203125" customWidth="1"/>
    <col min="15113" max="15113" width="12.5" customWidth="1"/>
    <col min="15114" max="15114" width="12.08203125" customWidth="1"/>
    <col min="15115" max="15115" width="18.08203125" customWidth="1"/>
    <col min="15116" max="15116" width="16.25" customWidth="1"/>
    <col min="15117" max="15118" width="12.83203125" customWidth="1"/>
    <col min="15119" max="15119" width="11.33203125" customWidth="1"/>
    <col min="15120" max="15120" width="11.75" customWidth="1"/>
    <col min="15121" max="15121" width="10.83203125" customWidth="1"/>
    <col min="15122" max="15122" width="16" customWidth="1"/>
    <col min="15123" max="15123" width="14.08203125" customWidth="1"/>
    <col min="15124" max="15124" width="11.75" customWidth="1"/>
    <col min="15125" max="15125" width="13.33203125" customWidth="1"/>
    <col min="15126" max="15126" width="21.58203125" customWidth="1"/>
    <col min="15127" max="15127" width="16.08203125" customWidth="1"/>
    <col min="15128" max="15129" width="14" customWidth="1"/>
    <col min="15130" max="15130" width="9.58203125" customWidth="1"/>
    <col min="15131" max="15131" width="10.75" customWidth="1"/>
    <col min="15132" max="15132" width="9.58203125" customWidth="1"/>
    <col min="15133" max="15133" width="9.25" customWidth="1"/>
    <col min="15134" max="15134" width="9.33203125" customWidth="1"/>
    <col min="15135" max="15136" width="13.25" customWidth="1"/>
    <col min="15137" max="15137" width="8.25" bestFit="1" customWidth="1"/>
    <col min="15138" max="15138" width="10" customWidth="1"/>
    <col min="15140" max="15140" width="9.75" customWidth="1"/>
    <col min="15141" max="15141" width="9.33203125" customWidth="1"/>
    <col min="15142" max="15142" width="10.5" bestFit="1" customWidth="1"/>
    <col min="15149" max="15149" width="9.58203125" customWidth="1"/>
    <col min="15150" max="15150" width="14.75" customWidth="1"/>
    <col min="15151" max="15151" width="11.33203125" customWidth="1"/>
    <col min="15152" max="15152" width="9.83203125" customWidth="1"/>
    <col min="15153" max="15153" width="10.75" customWidth="1"/>
    <col min="15154" max="15154" width="10.08203125" bestFit="1" customWidth="1"/>
    <col min="15155" max="15155" width="12.5" customWidth="1"/>
    <col min="15156" max="15156" width="10.58203125" customWidth="1"/>
    <col min="15159" max="15159" width="15.75" customWidth="1"/>
    <col min="15160" max="15160" width="10" customWidth="1"/>
    <col min="15163" max="15163" width="8.83203125" customWidth="1"/>
    <col min="15164" max="15164" width="9.58203125" bestFit="1" customWidth="1"/>
    <col min="15165" max="15165" width="9.33203125" customWidth="1"/>
    <col min="15167" max="15167" width="7.25" customWidth="1"/>
    <col min="15168" max="15168" width="0" hidden="1" customWidth="1"/>
    <col min="15170" max="15170" width="9.33203125" customWidth="1"/>
    <col min="15171" max="15171" width="10.33203125" customWidth="1"/>
    <col min="15172" max="15172" width="15.83203125" customWidth="1"/>
    <col min="15174" max="15174" width="6.75" customWidth="1"/>
    <col min="15361" max="15361" width="0.33203125" customWidth="1"/>
    <col min="15362" max="15362" width="17.25" customWidth="1"/>
    <col min="15363" max="15363" width="13.33203125" customWidth="1"/>
    <col min="15364" max="15364" width="9.58203125" customWidth="1"/>
    <col min="15365" max="15365" width="13.33203125" customWidth="1"/>
    <col min="15366" max="15366" width="8.58203125" customWidth="1"/>
    <col min="15367" max="15367" width="15.58203125" customWidth="1"/>
    <col min="15368" max="15368" width="16.08203125" customWidth="1"/>
    <col min="15369" max="15369" width="12.5" customWidth="1"/>
    <col min="15370" max="15370" width="12.08203125" customWidth="1"/>
    <col min="15371" max="15371" width="18.08203125" customWidth="1"/>
    <col min="15372" max="15372" width="16.25" customWidth="1"/>
    <col min="15373" max="15374" width="12.83203125" customWidth="1"/>
    <col min="15375" max="15375" width="11.33203125" customWidth="1"/>
    <col min="15376" max="15376" width="11.75" customWidth="1"/>
    <col min="15377" max="15377" width="10.83203125" customWidth="1"/>
    <col min="15378" max="15378" width="16" customWidth="1"/>
    <col min="15379" max="15379" width="14.08203125" customWidth="1"/>
    <col min="15380" max="15380" width="11.75" customWidth="1"/>
    <col min="15381" max="15381" width="13.33203125" customWidth="1"/>
    <col min="15382" max="15382" width="21.58203125" customWidth="1"/>
    <col min="15383" max="15383" width="16.08203125" customWidth="1"/>
    <col min="15384" max="15385" width="14" customWidth="1"/>
    <col min="15386" max="15386" width="9.58203125" customWidth="1"/>
    <col min="15387" max="15387" width="10.75" customWidth="1"/>
    <col min="15388" max="15388" width="9.58203125" customWidth="1"/>
    <col min="15389" max="15389" width="9.25" customWidth="1"/>
    <col min="15390" max="15390" width="9.33203125" customWidth="1"/>
    <col min="15391" max="15392" width="13.25" customWidth="1"/>
    <col min="15393" max="15393" width="8.25" bestFit="1" customWidth="1"/>
    <col min="15394" max="15394" width="10" customWidth="1"/>
    <col min="15396" max="15396" width="9.75" customWidth="1"/>
    <col min="15397" max="15397" width="9.33203125" customWidth="1"/>
    <col min="15398" max="15398" width="10.5" bestFit="1" customWidth="1"/>
    <col min="15405" max="15405" width="9.58203125" customWidth="1"/>
    <col min="15406" max="15406" width="14.75" customWidth="1"/>
    <col min="15407" max="15407" width="11.33203125" customWidth="1"/>
    <col min="15408" max="15408" width="9.83203125" customWidth="1"/>
    <col min="15409" max="15409" width="10.75" customWidth="1"/>
    <col min="15410" max="15410" width="10.08203125" bestFit="1" customWidth="1"/>
    <col min="15411" max="15411" width="12.5" customWidth="1"/>
    <col min="15412" max="15412" width="10.58203125" customWidth="1"/>
    <col min="15415" max="15415" width="15.75" customWidth="1"/>
    <col min="15416" max="15416" width="10" customWidth="1"/>
    <col min="15419" max="15419" width="8.83203125" customWidth="1"/>
    <col min="15420" max="15420" width="9.58203125" bestFit="1" customWidth="1"/>
    <col min="15421" max="15421" width="9.33203125" customWidth="1"/>
    <col min="15423" max="15423" width="7.25" customWidth="1"/>
    <col min="15424" max="15424" width="0" hidden="1" customWidth="1"/>
    <col min="15426" max="15426" width="9.33203125" customWidth="1"/>
    <col min="15427" max="15427" width="10.33203125" customWidth="1"/>
    <col min="15428" max="15428" width="15.83203125" customWidth="1"/>
    <col min="15430" max="15430" width="6.75" customWidth="1"/>
    <col min="15617" max="15617" width="0.33203125" customWidth="1"/>
    <col min="15618" max="15618" width="17.25" customWidth="1"/>
    <col min="15619" max="15619" width="13.33203125" customWidth="1"/>
    <col min="15620" max="15620" width="9.58203125" customWidth="1"/>
    <col min="15621" max="15621" width="13.33203125" customWidth="1"/>
    <col min="15622" max="15622" width="8.58203125" customWidth="1"/>
    <col min="15623" max="15623" width="15.58203125" customWidth="1"/>
    <col min="15624" max="15624" width="16.08203125" customWidth="1"/>
    <col min="15625" max="15625" width="12.5" customWidth="1"/>
    <col min="15626" max="15626" width="12.08203125" customWidth="1"/>
    <col min="15627" max="15627" width="18.08203125" customWidth="1"/>
    <col min="15628" max="15628" width="16.25" customWidth="1"/>
    <col min="15629" max="15630" width="12.83203125" customWidth="1"/>
    <col min="15631" max="15631" width="11.33203125" customWidth="1"/>
    <col min="15632" max="15632" width="11.75" customWidth="1"/>
    <col min="15633" max="15633" width="10.83203125" customWidth="1"/>
    <col min="15634" max="15634" width="16" customWidth="1"/>
    <col min="15635" max="15635" width="14.08203125" customWidth="1"/>
    <col min="15636" max="15636" width="11.75" customWidth="1"/>
    <col min="15637" max="15637" width="13.33203125" customWidth="1"/>
    <col min="15638" max="15638" width="21.58203125" customWidth="1"/>
    <col min="15639" max="15639" width="16.08203125" customWidth="1"/>
    <col min="15640" max="15641" width="14" customWidth="1"/>
    <col min="15642" max="15642" width="9.58203125" customWidth="1"/>
    <col min="15643" max="15643" width="10.75" customWidth="1"/>
    <col min="15644" max="15644" width="9.58203125" customWidth="1"/>
    <col min="15645" max="15645" width="9.25" customWidth="1"/>
    <col min="15646" max="15646" width="9.33203125" customWidth="1"/>
    <col min="15647" max="15648" width="13.25" customWidth="1"/>
    <col min="15649" max="15649" width="8.25" bestFit="1" customWidth="1"/>
    <col min="15650" max="15650" width="10" customWidth="1"/>
    <col min="15652" max="15652" width="9.75" customWidth="1"/>
    <col min="15653" max="15653" width="9.33203125" customWidth="1"/>
    <col min="15654" max="15654" width="10.5" bestFit="1" customWidth="1"/>
    <col min="15661" max="15661" width="9.58203125" customWidth="1"/>
    <col min="15662" max="15662" width="14.75" customWidth="1"/>
    <col min="15663" max="15663" width="11.33203125" customWidth="1"/>
    <col min="15664" max="15664" width="9.83203125" customWidth="1"/>
    <col min="15665" max="15665" width="10.75" customWidth="1"/>
    <col min="15666" max="15666" width="10.08203125" bestFit="1" customWidth="1"/>
    <col min="15667" max="15667" width="12.5" customWidth="1"/>
    <col min="15668" max="15668" width="10.58203125" customWidth="1"/>
    <col min="15671" max="15671" width="15.75" customWidth="1"/>
    <col min="15672" max="15672" width="10" customWidth="1"/>
    <col min="15675" max="15675" width="8.83203125" customWidth="1"/>
    <col min="15676" max="15676" width="9.58203125" bestFit="1" customWidth="1"/>
    <col min="15677" max="15677" width="9.33203125" customWidth="1"/>
    <col min="15679" max="15679" width="7.25" customWidth="1"/>
    <col min="15680" max="15680" width="0" hidden="1" customWidth="1"/>
    <col min="15682" max="15682" width="9.33203125" customWidth="1"/>
    <col min="15683" max="15683" width="10.33203125" customWidth="1"/>
    <col min="15684" max="15684" width="15.83203125" customWidth="1"/>
    <col min="15686" max="15686" width="6.75" customWidth="1"/>
    <col min="15873" max="15873" width="0.33203125" customWidth="1"/>
    <col min="15874" max="15874" width="17.25" customWidth="1"/>
    <col min="15875" max="15875" width="13.33203125" customWidth="1"/>
    <col min="15876" max="15876" width="9.58203125" customWidth="1"/>
    <col min="15877" max="15877" width="13.33203125" customWidth="1"/>
    <col min="15878" max="15878" width="8.58203125" customWidth="1"/>
    <col min="15879" max="15879" width="15.58203125" customWidth="1"/>
    <col min="15880" max="15880" width="16.08203125" customWidth="1"/>
    <col min="15881" max="15881" width="12.5" customWidth="1"/>
    <col min="15882" max="15882" width="12.08203125" customWidth="1"/>
    <col min="15883" max="15883" width="18.08203125" customWidth="1"/>
    <col min="15884" max="15884" width="16.25" customWidth="1"/>
    <col min="15885" max="15886" width="12.83203125" customWidth="1"/>
    <col min="15887" max="15887" width="11.33203125" customWidth="1"/>
    <col min="15888" max="15888" width="11.75" customWidth="1"/>
    <col min="15889" max="15889" width="10.83203125" customWidth="1"/>
    <col min="15890" max="15890" width="16" customWidth="1"/>
    <col min="15891" max="15891" width="14.08203125" customWidth="1"/>
    <col min="15892" max="15892" width="11.75" customWidth="1"/>
    <col min="15893" max="15893" width="13.33203125" customWidth="1"/>
    <col min="15894" max="15894" width="21.58203125" customWidth="1"/>
    <col min="15895" max="15895" width="16.08203125" customWidth="1"/>
    <col min="15896" max="15897" width="14" customWidth="1"/>
    <col min="15898" max="15898" width="9.58203125" customWidth="1"/>
    <col min="15899" max="15899" width="10.75" customWidth="1"/>
    <col min="15900" max="15900" width="9.58203125" customWidth="1"/>
    <col min="15901" max="15901" width="9.25" customWidth="1"/>
    <col min="15902" max="15902" width="9.33203125" customWidth="1"/>
    <col min="15903" max="15904" width="13.25" customWidth="1"/>
    <col min="15905" max="15905" width="8.25" bestFit="1" customWidth="1"/>
    <col min="15906" max="15906" width="10" customWidth="1"/>
    <col min="15908" max="15908" width="9.75" customWidth="1"/>
    <col min="15909" max="15909" width="9.33203125" customWidth="1"/>
    <col min="15910" max="15910" width="10.5" bestFit="1" customWidth="1"/>
    <col min="15917" max="15917" width="9.58203125" customWidth="1"/>
    <col min="15918" max="15918" width="14.75" customWidth="1"/>
    <col min="15919" max="15919" width="11.33203125" customWidth="1"/>
    <col min="15920" max="15920" width="9.83203125" customWidth="1"/>
    <col min="15921" max="15921" width="10.75" customWidth="1"/>
    <col min="15922" max="15922" width="10.08203125" bestFit="1" customWidth="1"/>
    <col min="15923" max="15923" width="12.5" customWidth="1"/>
    <col min="15924" max="15924" width="10.58203125" customWidth="1"/>
    <col min="15927" max="15927" width="15.75" customWidth="1"/>
    <col min="15928" max="15928" width="10" customWidth="1"/>
    <col min="15931" max="15931" width="8.83203125" customWidth="1"/>
    <col min="15932" max="15932" width="9.58203125" bestFit="1" customWidth="1"/>
    <col min="15933" max="15933" width="9.33203125" customWidth="1"/>
    <col min="15935" max="15935" width="7.25" customWidth="1"/>
    <col min="15936" max="15936" width="0" hidden="1" customWidth="1"/>
    <col min="15938" max="15938" width="9.33203125" customWidth="1"/>
    <col min="15939" max="15939" width="10.33203125" customWidth="1"/>
    <col min="15940" max="15940" width="15.83203125" customWidth="1"/>
    <col min="15942" max="15942" width="6.75" customWidth="1"/>
    <col min="16129" max="16129" width="0.33203125" customWidth="1"/>
    <col min="16130" max="16130" width="17.25" customWidth="1"/>
    <col min="16131" max="16131" width="13.33203125" customWidth="1"/>
    <col min="16132" max="16132" width="9.58203125" customWidth="1"/>
    <col min="16133" max="16133" width="13.33203125" customWidth="1"/>
    <col min="16134" max="16134" width="8.58203125" customWidth="1"/>
    <col min="16135" max="16135" width="15.58203125" customWidth="1"/>
    <col min="16136" max="16136" width="16.08203125" customWidth="1"/>
    <col min="16137" max="16137" width="12.5" customWidth="1"/>
    <col min="16138" max="16138" width="12.08203125" customWidth="1"/>
    <col min="16139" max="16139" width="18.08203125" customWidth="1"/>
    <col min="16140" max="16140" width="16.25" customWidth="1"/>
    <col min="16141" max="16142" width="12.83203125" customWidth="1"/>
    <col min="16143" max="16143" width="11.33203125" customWidth="1"/>
    <col min="16144" max="16144" width="11.75" customWidth="1"/>
    <col min="16145" max="16145" width="10.83203125" customWidth="1"/>
    <col min="16146" max="16146" width="16" customWidth="1"/>
    <col min="16147" max="16147" width="14.08203125" customWidth="1"/>
    <col min="16148" max="16148" width="11.75" customWidth="1"/>
    <col min="16149" max="16149" width="13.33203125" customWidth="1"/>
    <col min="16150" max="16150" width="21.58203125" customWidth="1"/>
    <col min="16151" max="16151" width="16.08203125" customWidth="1"/>
    <col min="16152" max="16153" width="14" customWidth="1"/>
    <col min="16154" max="16154" width="9.58203125" customWidth="1"/>
    <col min="16155" max="16155" width="10.75" customWidth="1"/>
    <col min="16156" max="16156" width="9.58203125" customWidth="1"/>
    <col min="16157" max="16157" width="9.25" customWidth="1"/>
    <col min="16158" max="16158" width="9.33203125" customWidth="1"/>
    <col min="16159" max="16160" width="13.25" customWidth="1"/>
    <col min="16161" max="16161" width="8.25" bestFit="1" customWidth="1"/>
    <col min="16162" max="16162" width="10" customWidth="1"/>
    <col min="16164" max="16164" width="9.75" customWidth="1"/>
    <col min="16165" max="16165" width="9.33203125" customWidth="1"/>
    <col min="16166" max="16166" width="10.5" bestFit="1" customWidth="1"/>
    <col min="16173" max="16173" width="9.58203125" customWidth="1"/>
    <col min="16174" max="16174" width="14.75" customWidth="1"/>
    <col min="16175" max="16175" width="11.33203125" customWidth="1"/>
    <col min="16176" max="16176" width="9.83203125" customWidth="1"/>
    <col min="16177" max="16177" width="10.75" customWidth="1"/>
    <col min="16178" max="16178" width="10.08203125" bestFit="1" customWidth="1"/>
    <col min="16179" max="16179" width="12.5" customWidth="1"/>
    <col min="16180" max="16180" width="10.58203125" customWidth="1"/>
    <col min="16183" max="16183" width="15.75" customWidth="1"/>
    <col min="16184" max="16184" width="10" customWidth="1"/>
    <col min="16187" max="16187" width="8.83203125" customWidth="1"/>
    <col min="16188" max="16188" width="9.58203125" bestFit="1" customWidth="1"/>
    <col min="16189" max="16189" width="9.33203125" customWidth="1"/>
    <col min="16191" max="16191" width="7.25" customWidth="1"/>
    <col min="16192" max="16192" width="0" hidden="1" customWidth="1"/>
    <col min="16194" max="16194" width="9.33203125" customWidth="1"/>
    <col min="16195" max="16195" width="10.33203125" customWidth="1"/>
    <col min="16196" max="16196" width="15.83203125" customWidth="1"/>
    <col min="16198" max="16198" width="6.75" customWidth="1"/>
  </cols>
  <sheetData>
    <row r="1" spans="1:124" ht="15" thickTop="1" thickBot="1" x14ac:dyDescent="0.35">
      <c r="B1" s="22" t="s">
        <v>52</v>
      </c>
      <c r="C1" s="23"/>
      <c r="D1" s="24"/>
      <c r="E1" s="24"/>
      <c r="F1" s="25"/>
      <c r="G1" s="26"/>
      <c r="H1" s="26" t="s">
        <v>53</v>
      </c>
      <c r="I1" s="26"/>
      <c r="J1" s="26"/>
      <c r="K1" s="26"/>
      <c r="L1" s="26"/>
      <c r="M1" s="26"/>
      <c r="N1" s="26"/>
      <c r="O1" s="26"/>
      <c r="P1" s="26">
        <f>N82</f>
        <v>8236.8740213838755</v>
      </c>
      <c r="Q1" s="26" t="e">
        <f>VLOOKUP($I$32,K157:L173,2)</f>
        <v>#N/A</v>
      </c>
      <c r="R1" s="26" t="s">
        <v>54</v>
      </c>
      <c r="S1" s="26">
        <f>ROUND((J4-AQ17)/365.25,2)</f>
        <v>-110.72</v>
      </c>
      <c r="T1" s="26"/>
      <c r="U1" s="26"/>
      <c r="V1" s="26"/>
      <c r="W1" s="26" t="s">
        <v>55</v>
      </c>
      <c r="X1" s="26">
        <f>IF(BG60-INT(BG60)=0.5,1,0)</f>
        <v>0</v>
      </c>
      <c r="Y1" s="26">
        <f>IF(X1=0,0,IF(BG60&lt;=7,3.75,4.25))</f>
        <v>0</v>
      </c>
      <c r="Z1" s="26"/>
      <c r="AA1" s="26" t="s">
        <v>56</v>
      </c>
      <c r="AB1" s="26"/>
      <c r="AC1" s="26"/>
      <c r="AD1" s="26"/>
      <c r="AE1" s="26"/>
      <c r="AF1" s="26"/>
      <c r="AG1" s="26"/>
      <c r="AH1" s="26"/>
      <c r="AI1" s="26"/>
      <c r="AJ1" s="26"/>
      <c r="AK1" s="26"/>
      <c r="AL1" s="26"/>
      <c r="AM1" s="26"/>
      <c r="AN1" s="26" t="s">
        <v>57</v>
      </c>
      <c r="AO1" s="26"/>
      <c r="AP1" s="26"/>
      <c r="AQ1" s="26"/>
      <c r="AR1" s="26"/>
      <c r="AS1" s="26"/>
      <c r="AT1" s="26"/>
      <c r="AU1" s="26"/>
      <c r="AV1" s="26"/>
      <c r="AW1" s="26"/>
      <c r="AX1" s="26"/>
      <c r="AY1" s="26"/>
      <c r="AZ1" s="26"/>
      <c r="BA1" s="26" t="s">
        <v>58</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6.5" thickTop="1" thickBot="1" x14ac:dyDescent="0.4">
      <c r="B2" s="27" t="s">
        <v>59</v>
      </c>
      <c r="C2" s="28" t="s">
        <v>60</v>
      </c>
      <c r="D2" s="29"/>
      <c r="E2" s="29"/>
      <c r="F2" s="30" t="s">
        <v>61</v>
      </c>
      <c r="G2" s="26"/>
      <c r="H2" s="26"/>
      <c r="I2" s="26"/>
      <c r="J2" s="26"/>
      <c r="K2" s="26"/>
      <c r="L2" s="26"/>
      <c r="M2" s="26" t="s">
        <v>62</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63</v>
      </c>
      <c r="U2" s="26" t="s">
        <v>27</v>
      </c>
      <c r="V2" s="26"/>
      <c r="W2" s="26" t="s">
        <v>64</v>
      </c>
      <c r="X2" s="26">
        <v>0.03</v>
      </c>
      <c r="Y2" s="26">
        <f>1+(Y1/100)</f>
        <v>1</v>
      </c>
      <c r="Z2" s="26"/>
      <c r="AA2" s="26">
        <v>0</v>
      </c>
      <c r="AB2" s="26">
        <v>0</v>
      </c>
      <c r="AC2" s="26"/>
      <c r="AD2" s="26" t="s">
        <v>65</v>
      </c>
      <c r="AE2" s="26"/>
      <c r="AF2" s="26"/>
      <c r="AG2" s="26"/>
      <c r="AH2" s="26"/>
      <c r="AI2" s="26"/>
      <c r="AJ2" s="26"/>
      <c r="AK2" s="26"/>
      <c r="AL2" s="26"/>
      <c r="AM2" s="26"/>
      <c r="AN2" s="26" t="s">
        <v>66</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 thickTop="1" thickBot="1" x14ac:dyDescent="0.35">
      <c r="B3" s="26"/>
      <c r="C3" s="26"/>
      <c r="D3" s="26"/>
      <c r="E3" s="26"/>
      <c r="F3" s="26"/>
      <c r="G3" s="26" t="str">
        <f>IF(OR($C$5=$CB$16,$C$5=$CC$16,$C$5=CD16),$S$723,IF($C$5=CE16,$S$724,IF($C$5=CF16,$S$725,S726)))</f>
        <v>מנהל אקדמאי קיים</v>
      </c>
      <c r="H3" s="26"/>
      <c r="I3" s="26"/>
      <c r="J3" s="26"/>
      <c r="K3" s="26"/>
      <c r="L3" s="26"/>
      <c r="M3" s="26" t="s">
        <v>67</v>
      </c>
      <c r="N3" s="26">
        <f>J32</f>
        <v>0</v>
      </c>
      <c r="O3" s="26"/>
      <c r="P3" s="26" t="s">
        <v>68</v>
      </c>
      <c r="Q3" s="26" t="s">
        <v>69</v>
      </c>
      <c r="R3" s="26"/>
      <c r="S3" s="26"/>
      <c r="T3" s="26" t="s">
        <v>70</v>
      </c>
      <c r="U3" s="26" t="s">
        <v>71</v>
      </c>
      <c r="V3" s="26"/>
      <c r="W3" s="26" t="s">
        <v>72</v>
      </c>
      <c r="X3" s="26">
        <v>4.8099999999999997E-2</v>
      </c>
      <c r="Y3" s="26"/>
      <c r="Z3" s="26"/>
      <c r="AA3" s="26">
        <v>1</v>
      </c>
      <c r="AB3" s="26">
        <v>0.47499999999999998</v>
      </c>
      <c r="AC3" s="26" t="s">
        <v>59</v>
      </c>
      <c r="AD3" s="26">
        <v>0.09</v>
      </c>
      <c r="AE3" s="26" t="s">
        <v>73</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5">
      <c r="B4" s="31" t="s">
        <v>610</v>
      </c>
      <c r="C4" s="32"/>
      <c r="D4" s="33" t="s">
        <v>74</v>
      </c>
      <c r="E4" s="33"/>
      <c r="F4" s="33"/>
      <c r="G4" s="26"/>
      <c r="H4" s="26"/>
      <c r="I4" s="26"/>
      <c r="J4" s="26"/>
      <c r="K4" s="26"/>
      <c r="L4" s="26"/>
      <c r="M4" s="26"/>
      <c r="N4" s="26"/>
      <c r="O4" s="26"/>
      <c r="P4" s="26">
        <f>VLOOKUP(INT(1),horaa2,$AJ$8+2,FALSE)*$AB$44</f>
        <v>3179.46</v>
      </c>
      <c r="Q4" s="26"/>
      <c r="R4" s="26"/>
      <c r="S4" s="26"/>
      <c r="T4" s="26" t="s">
        <v>75</v>
      </c>
      <c r="U4" s="26" t="s">
        <v>76</v>
      </c>
      <c r="V4" s="26"/>
      <c r="W4" s="26"/>
      <c r="X4" s="26"/>
      <c r="Y4" s="26"/>
      <c r="Z4" s="26"/>
      <c r="AA4" s="26">
        <v>2</v>
      </c>
      <c r="AB4" s="26">
        <v>0.495</v>
      </c>
      <c r="AC4" s="26" t="s">
        <v>59</v>
      </c>
      <c r="AD4" s="26">
        <v>8.2500000000000004E-2</v>
      </c>
      <c r="AE4" s="26" t="s">
        <v>77</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3">
      <c r="B5" s="34" t="s">
        <v>0</v>
      </c>
      <c r="C5" s="35" t="s">
        <v>11</v>
      </c>
      <c r="D5" s="36" t="s">
        <v>24</v>
      </c>
      <c r="E5" s="37"/>
      <c r="F5" s="26"/>
      <c r="G5" s="26"/>
      <c r="H5" s="26"/>
      <c r="I5" s="26"/>
      <c r="J5" s="26"/>
      <c r="K5" s="26"/>
      <c r="L5" s="26"/>
      <c r="M5" s="26" t="s">
        <v>78</v>
      </c>
      <c r="N5" s="26"/>
      <c r="O5" s="26"/>
      <c r="P5" s="26" t="s">
        <v>79</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59</v>
      </c>
      <c r="AD5" s="26">
        <v>7.4999999999999997E-2</v>
      </c>
      <c r="AE5" s="26" t="s">
        <v>80</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3">
      <c r="B6" s="34" t="s">
        <v>2</v>
      </c>
      <c r="C6" s="39">
        <v>22</v>
      </c>
      <c r="D6" s="36" t="s">
        <v>81</v>
      </c>
      <c r="E6" s="37"/>
      <c r="F6" s="40"/>
      <c r="G6" s="26"/>
      <c r="H6" s="26"/>
      <c r="I6" s="26"/>
      <c r="J6" s="26"/>
      <c r="K6" s="26"/>
      <c r="L6" s="26"/>
      <c r="M6" s="26"/>
      <c r="N6" s="26" t="s">
        <v>82</v>
      </c>
      <c r="O6" s="26" t="s">
        <v>83</v>
      </c>
      <c r="P6" s="26">
        <f>P4*C9</f>
        <v>5118.9306000000006</v>
      </c>
      <c r="Q6" s="26"/>
      <c r="R6" s="26"/>
      <c r="S6" s="26"/>
      <c r="T6" s="26"/>
      <c r="U6" s="26"/>
      <c r="V6" s="26"/>
      <c r="W6" s="26"/>
      <c r="X6" s="26" t="s">
        <v>84</v>
      </c>
      <c r="Y6" s="26"/>
      <c r="Z6" s="26"/>
      <c r="AA6" s="26">
        <v>4</v>
      </c>
      <c r="AB6" s="26">
        <v>0.53</v>
      </c>
      <c r="AC6" s="26" t="s">
        <v>59</v>
      </c>
      <c r="AD6" s="26">
        <v>6.7500000000000004E-2</v>
      </c>
      <c r="AE6" s="26" t="s">
        <v>85</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3">
      <c r="B7" s="41" t="s">
        <v>4</v>
      </c>
      <c r="C7" s="189">
        <f>IF(C5=CD16,8.75,IF(C5=CC16,8.75,0))</f>
        <v>8.75</v>
      </c>
      <c r="D7" s="40" t="s">
        <v>86</v>
      </c>
      <c r="E7" s="38"/>
      <c r="F7" s="26"/>
      <c r="G7" s="26"/>
      <c r="H7" s="26"/>
      <c r="I7" s="26"/>
      <c r="J7" s="26"/>
      <c r="K7" s="26"/>
      <c r="L7" s="26"/>
      <c r="M7" s="26" t="s">
        <v>87</v>
      </c>
      <c r="N7" s="26">
        <f>I32</f>
        <v>0</v>
      </c>
      <c r="O7" s="26">
        <f>N7*C9</f>
        <v>0</v>
      </c>
      <c r="P7" s="26" t="s">
        <v>87</v>
      </c>
      <c r="Q7" s="26" t="e">
        <f>IF(BG61+BG62+H153&gt;=AO40,'[1]נתוני מס'!I16*Q26,0)</f>
        <v>#REF!</v>
      </c>
      <c r="R7" s="26"/>
      <c r="S7" s="26" t="s">
        <v>88</v>
      </c>
      <c r="T7" s="26">
        <f>ROUND((J4-AQ20)/365.25,2)</f>
        <v>-58.21</v>
      </c>
      <c r="U7" s="26" t="s">
        <v>89</v>
      </c>
      <c r="V7" s="26">
        <f>ROUND((AK25-AQ17)/365.25,2)</f>
        <v>0.36</v>
      </c>
      <c r="W7" s="26"/>
      <c r="X7" s="26" t="s">
        <v>6</v>
      </c>
      <c r="Y7" s="26"/>
      <c r="Z7" s="26"/>
      <c r="AA7" s="26">
        <v>5</v>
      </c>
      <c r="AB7" s="26">
        <v>0.54500000000000004</v>
      </c>
      <c r="AC7" s="26" t="s">
        <v>59</v>
      </c>
      <c r="AD7" s="26">
        <v>0.06</v>
      </c>
      <c r="AE7" s="26" t="s">
        <v>90</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3">
      <c r="B8" s="34" t="s">
        <v>91</v>
      </c>
      <c r="C8" s="42">
        <v>16</v>
      </c>
      <c r="D8" s="36" t="s">
        <v>92</v>
      </c>
      <c r="E8" s="37"/>
      <c r="F8" s="26"/>
      <c r="G8" s="26"/>
      <c r="H8" s="26"/>
      <c r="I8" s="26"/>
      <c r="J8" s="26"/>
      <c r="K8" s="26"/>
      <c r="L8" s="26"/>
      <c r="M8" s="26" t="s">
        <v>93</v>
      </c>
      <c r="N8" s="26">
        <f>IF(J29*N7&gt;0,J29*N7,0)</f>
        <v>0</v>
      </c>
      <c r="O8" s="26"/>
      <c r="P8" s="26" t="s">
        <v>94</v>
      </c>
      <c r="Q8" s="26">
        <f>IF(BG61&lt;26,'[1]נתוני מס'!I18*BC27,'[1]נתוני מס'!I19*BC27)</f>
        <v>2014</v>
      </c>
      <c r="R8" s="26"/>
      <c r="S8" s="26" t="s">
        <v>95</v>
      </c>
      <c r="T8" s="26" t="e">
        <f>IF(BG59=#REF!,59-T7,60-T7)</f>
        <v>#REF!</v>
      </c>
      <c r="U8" s="26" t="s">
        <v>96</v>
      </c>
      <c r="V8" s="26" t="e">
        <f>V7+T8</f>
        <v>#REF!</v>
      </c>
      <c r="W8" s="26"/>
      <c r="X8" s="26" t="s">
        <v>97</v>
      </c>
      <c r="Y8" s="26"/>
      <c r="Z8" s="26"/>
      <c r="AA8" s="26">
        <v>6</v>
      </c>
      <c r="AB8" s="26">
        <v>0.56499999999999995</v>
      </c>
      <c r="AC8" s="26" t="s">
        <v>59</v>
      </c>
      <c r="AD8" s="26">
        <v>5.2499999999999998E-2</v>
      </c>
      <c r="AE8" s="26" t="s">
        <v>98</v>
      </c>
      <c r="AF8" s="26"/>
      <c r="AG8" s="26"/>
      <c r="AH8" s="26"/>
      <c r="AI8" s="26"/>
      <c r="AJ8" s="26">
        <f>HLOOKUP(C5,kothor1,3,FALSE)</f>
        <v>2</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3">
      <c r="B9" s="34" t="s">
        <v>99</v>
      </c>
      <c r="C9" s="44">
        <v>1.61</v>
      </c>
      <c r="D9" s="206" t="s">
        <v>100</v>
      </c>
      <c r="E9" s="207"/>
      <c r="F9" s="26"/>
      <c r="G9" s="26"/>
      <c r="H9" s="26"/>
      <c r="I9" s="26"/>
      <c r="J9" s="26"/>
      <c r="K9" s="26"/>
      <c r="L9" s="26"/>
      <c r="M9" s="26" t="s">
        <v>101</v>
      </c>
      <c r="N9" s="26">
        <v>593</v>
      </c>
      <c r="O9" s="26"/>
      <c r="P9" s="26" t="s">
        <v>102</v>
      </c>
      <c r="Q9" s="26" t="e">
        <f>#REF!</f>
        <v>#REF!</v>
      </c>
      <c r="R9" s="26"/>
      <c r="S9" s="26" t="s">
        <v>103</v>
      </c>
      <c r="T9" s="26" t="e">
        <f>IF(AI28+T8&gt;36,36,AI28+T8)</f>
        <v>#REF!</v>
      </c>
      <c r="U9" s="26" t="s">
        <v>104</v>
      </c>
      <c r="V9" s="26">
        <f>F204</f>
        <v>6</v>
      </c>
      <c r="W9" s="26" t="s">
        <v>105</v>
      </c>
      <c r="X9" s="26" t="s">
        <v>106</v>
      </c>
      <c r="Y9" s="26"/>
      <c r="Z9" s="26"/>
      <c r="AA9" s="26">
        <v>7</v>
      </c>
      <c r="AB9" s="26">
        <v>0.58499999999999996</v>
      </c>
      <c r="AC9" s="26" t="s">
        <v>59</v>
      </c>
      <c r="AD9" s="26">
        <v>4.4999999999999998E-2</v>
      </c>
      <c r="AE9" s="26" t="s">
        <v>107</v>
      </c>
      <c r="AF9" s="26"/>
      <c r="AG9" s="26"/>
      <c r="AH9" s="26"/>
      <c r="AI9" s="26"/>
      <c r="AJ9" s="26"/>
      <c r="AK9" s="26"/>
      <c r="AL9" s="26"/>
      <c r="AM9" s="26"/>
      <c r="AN9" s="26">
        <v>4</v>
      </c>
      <c r="AO9" s="26" t="s">
        <v>59</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108</v>
      </c>
      <c r="DB9" s="26" t="s">
        <v>109</v>
      </c>
      <c r="DC9" s="26"/>
      <c r="DD9" s="26"/>
      <c r="DE9" s="26" t="s">
        <v>108</v>
      </c>
      <c r="DF9" s="26" t="s">
        <v>109</v>
      </c>
      <c r="DG9" s="26"/>
      <c r="DH9" s="26"/>
      <c r="DI9" s="26"/>
      <c r="DJ9" s="26"/>
      <c r="DK9" s="26"/>
      <c r="DL9" s="26"/>
      <c r="DM9" s="26"/>
      <c r="DN9" s="26"/>
      <c r="DO9" s="26"/>
      <c r="DP9" s="26"/>
      <c r="DQ9" s="26"/>
      <c r="DR9" s="26"/>
      <c r="DS9" s="26"/>
      <c r="DT9" s="26"/>
    </row>
    <row r="10" spans="1:124" ht="15.75" customHeight="1" x14ac:dyDescent="0.3">
      <c r="B10" s="41" t="s">
        <v>110</v>
      </c>
      <c r="C10" s="188">
        <f>F14</f>
        <v>0.16800000000000001</v>
      </c>
      <c r="D10" s="45" t="s">
        <v>111</v>
      </c>
      <c r="E10" s="38"/>
      <c r="F10" s="26"/>
      <c r="G10" s="187" t="s">
        <v>607</v>
      </c>
      <c r="H10" s="26"/>
      <c r="I10" s="26"/>
      <c r="J10" s="26"/>
      <c r="K10" s="26"/>
      <c r="L10" s="26"/>
      <c r="M10" s="26" t="s">
        <v>6</v>
      </c>
      <c r="N10" s="26">
        <f>N7*C14</f>
        <v>0</v>
      </c>
      <c r="O10" s="26"/>
      <c r="P10" s="26" t="s">
        <v>87</v>
      </c>
      <c r="Q10" s="26" t="e">
        <f>G201</f>
        <v>#REF!</v>
      </c>
      <c r="R10" s="26">
        <f>VLOOKUP(INT(AB42),horaa2,AJ17+2,FALSE)*(1)*BC27</f>
        <v>6975.17</v>
      </c>
      <c r="S10" s="26" t="s">
        <v>113</v>
      </c>
      <c r="T10" s="26" t="e">
        <f>VLOOKUP(INT(T9),ofek4,V9+2,FALSE)*(1+AG36/100)*BC27*Y16*Y2</f>
        <v>#REF!</v>
      </c>
      <c r="U10" s="26" t="e">
        <f>VLOOKUP(INT(T9),ofek4,V9+2,FALSE)*(1+AG36/100)*BC27*Y16*Y2</f>
        <v>#REF!</v>
      </c>
      <c r="V10" s="26"/>
      <c r="W10" s="26"/>
      <c r="X10" s="26" t="s">
        <v>114</v>
      </c>
      <c r="Y10" s="26"/>
      <c r="Z10" s="26"/>
      <c r="AA10" s="26">
        <v>8</v>
      </c>
      <c r="AB10" s="26">
        <v>0.6</v>
      </c>
      <c r="AC10" s="26"/>
      <c r="AD10" s="26">
        <v>0</v>
      </c>
      <c r="AE10" s="26" t="s">
        <v>115</v>
      </c>
      <c r="AF10" s="26"/>
      <c r="AG10" s="26"/>
      <c r="AH10" s="26"/>
      <c r="AI10" s="26"/>
      <c r="AJ10" s="26"/>
      <c r="AK10" s="26"/>
      <c r="AL10" s="26"/>
      <c r="AM10" s="26"/>
      <c r="AN10" s="26">
        <v>4.5</v>
      </c>
      <c r="AO10" s="26" t="s">
        <v>59</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116</v>
      </c>
      <c r="CX10" s="26"/>
      <c r="CY10" s="26"/>
      <c r="CZ10" s="26"/>
      <c r="DA10" s="26"/>
      <c r="DB10" s="26"/>
      <c r="DC10" s="26"/>
      <c r="DD10" s="26"/>
      <c r="DE10" s="26"/>
      <c r="DF10" s="26"/>
      <c r="DG10" s="26"/>
      <c r="DH10" s="26"/>
      <c r="DI10" s="26"/>
      <c r="DJ10" s="26"/>
      <c r="DK10" s="26" t="s">
        <v>117</v>
      </c>
      <c r="DL10" s="26"/>
      <c r="DM10" s="26"/>
      <c r="DN10" s="26"/>
      <c r="DO10" s="26"/>
      <c r="DP10" s="26"/>
      <c r="DQ10" s="26"/>
      <c r="DR10" s="26"/>
      <c r="DS10" s="26"/>
      <c r="DT10" s="26"/>
    </row>
    <row r="11" spans="1:124" x14ac:dyDescent="0.3">
      <c r="B11" s="46" t="s">
        <v>32</v>
      </c>
      <c r="C11" s="47">
        <v>0</v>
      </c>
      <c r="D11" s="206" t="s">
        <v>118</v>
      </c>
      <c r="E11" s="207"/>
      <c r="F11" s="26"/>
      <c r="G11" s="26"/>
      <c r="H11" s="186">
        <v>0</v>
      </c>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59</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120</v>
      </c>
      <c r="CR11" s="26"/>
      <c r="CS11" s="26"/>
      <c r="CT11" s="26"/>
      <c r="CU11" s="26"/>
      <c r="CV11" s="26" t="s">
        <v>121</v>
      </c>
      <c r="CW11" s="26" t="s">
        <v>122</v>
      </c>
      <c r="CX11" s="26" t="s">
        <v>123</v>
      </c>
      <c r="CY11" s="26"/>
      <c r="CZ11" s="26" t="s">
        <v>121</v>
      </c>
      <c r="DA11" s="26" t="s">
        <v>122</v>
      </c>
      <c r="DB11" s="26" t="s">
        <v>122</v>
      </c>
      <c r="DC11" s="26"/>
      <c r="DD11" s="26" t="s">
        <v>121</v>
      </c>
      <c r="DE11" s="26" t="s">
        <v>124</v>
      </c>
      <c r="DF11" s="26" t="s">
        <v>124</v>
      </c>
      <c r="DG11" s="26"/>
      <c r="DH11" s="26"/>
      <c r="DI11" s="26"/>
      <c r="DJ11" s="26"/>
      <c r="DK11" s="26" t="s">
        <v>124</v>
      </c>
      <c r="DL11" s="26" t="s">
        <v>122</v>
      </c>
      <c r="DM11" s="26"/>
      <c r="DN11" s="26"/>
      <c r="DO11" s="26"/>
      <c r="DP11" s="26"/>
      <c r="DQ11" s="26"/>
      <c r="DR11" s="26"/>
      <c r="DS11" s="26"/>
      <c r="DT11" s="26"/>
    </row>
    <row r="12" spans="1:124" x14ac:dyDescent="0.3">
      <c r="B12" s="46" t="s">
        <v>3</v>
      </c>
      <c r="C12" s="47">
        <v>0</v>
      </c>
      <c r="D12" s="206" t="s">
        <v>118</v>
      </c>
      <c r="E12" s="207"/>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59</v>
      </c>
      <c r="Z12" s="26"/>
      <c r="AA12" s="26">
        <v>1</v>
      </c>
      <c r="AB12" s="26">
        <v>0.63500000000000001</v>
      </c>
      <c r="AC12" s="26"/>
      <c r="AD12" s="26"/>
      <c r="AE12" s="26"/>
      <c r="AF12" s="26"/>
      <c r="AG12" s="26"/>
      <c r="AH12" s="26"/>
      <c r="AI12" s="26"/>
      <c r="AJ12" s="26"/>
      <c r="AK12" s="26"/>
      <c r="AL12" s="26"/>
      <c r="AM12" s="26"/>
      <c r="AN12" s="26">
        <v>5.5</v>
      </c>
      <c r="AO12" s="26" t="s">
        <v>59</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125</v>
      </c>
      <c r="CA12" s="26" t="s">
        <v>126</v>
      </c>
      <c r="CB12" s="26" t="s">
        <v>10</v>
      </c>
      <c r="CC12" s="26" t="s">
        <v>11</v>
      </c>
      <c r="CD12" s="26" t="s">
        <v>1</v>
      </c>
      <c r="CE12" s="26"/>
      <c r="CF12" s="26"/>
      <c r="CG12" s="26"/>
      <c r="CH12" s="26"/>
      <c r="CI12" s="26"/>
      <c r="CJ12" s="26"/>
      <c r="CK12" s="26"/>
      <c r="CL12" s="26"/>
      <c r="CM12" s="26"/>
      <c r="CN12" s="26"/>
      <c r="CO12" s="26"/>
      <c r="CP12" s="26"/>
      <c r="CQ12" s="26" t="s">
        <v>127</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124</v>
      </c>
      <c r="DI12" s="26"/>
      <c r="DJ12" s="26"/>
      <c r="DK12" s="26"/>
      <c r="DL12" s="26">
        <v>17.899999999999999</v>
      </c>
      <c r="DM12" s="26"/>
      <c r="DN12" s="26"/>
      <c r="DO12" s="26"/>
      <c r="DP12" s="26"/>
      <c r="DQ12" s="26"/>
      <c r="DR12" s="26"/>
      <c r="DS12" s="26"/>
      <c r="DT12" s="26"/>
    </row>
    <row r="13" spans="1:124" x14ac:dyDescent="0.3">
      <c r="A13" s="48"/>
      <c r="B13" s="46" t="s">
        <v>5</v>
      </c>
      <c r="C13" s="47">
        <v>0</v>
      </c>
      <c r="D13" s="206" t="s">
        <v>118</v>
      </c>
      <c r="E13" s="207"/>
      <c r="F13" s="26"/>
      <c r="G13" s="26"/>
      <c r="H13" s="26"/>
      <c r="I13" s="26"/>
      <c r="J13" s="26"/>
      <c r="K13" s="26">
        <f>($I$7+$I$8+$I$10+$I$11+$I$9+500)*1.2%*($C$7)*C9</f>
        <v>84.525000000000006</v>
      </c>
      <c r="L13" s="26" t="s">
        <v>129</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130</v>
      </c>
      <c r="Y13" s="26">
        <v>0.05</v>
      </c>
      <c r="Z13" s="26"/>
      <c r="AA13" s="26">
        <v>11</v>
      </c>
      <c r="AB13" s="26">
        <v>0.66</v>
      </c>
      <c r="AC13" s="26"/>
      <c r="AD13" s="26" t="s">
        <v>131</v>
      </c>
      <c r="AE13" s="26">
        <v>0</v>
      </c>
      <c r="AF13" s="26"/>
      <c r="AG13" s="26"/>
      <c r="AH13" s="26"/>
      <c r="AI13" s="26"/>
      <c r="AJ13" s="26"/>
      <c r="AK13" s="26"/>
      <c r="AL13" s="26"/>
      <c r="AM13" s="26"/>
      <c r="AN13" s="26">
        <v>6</v>
      </c>
      <c r="AO13" s="26" t="s">
        <v>59</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132</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3">
      <c r="B14" s="46" t="s">
        <v>6</v>
      </c>
      <c r="C14" s="47">
        <v>0</v>
      </c>
      <c r="D14" s="206" t="s">
        <v>133</v>
      </c>
      <c r="E14" s="207"/>
      <c r="F14" s="26">
        <f>F16*(F15+1)</f>
        <v>0.16800000000000001</v>
      </c>
      <c r="G14" s="26"/>
      <c r="H14" s="26"/>
      <c r="I14" s="26"/>
      <c r="J14" s="26"/>
      <c r="K14" s="26">
        <f>($I$7+$I$8+$I$10+$I$11+$I$9+500)*1.2%*($C$8)*C9</f>
        <v>154.56</v>
      </c>
      <c r="L14" s="26" t="s">
        <v>134</v>
      </c>
      <c r="M14" s="26"/>
      <c r="N14" s="26"/>
      <c r="O14" s="26"/>
      <c r="P14" s="26" t="str">
        <f>IF(C151=0," = הזן  נתונים  מימין ==&gt;",B151)</f>
        <v>הסכם 87</v>
      </c>
      <c r="Q14" s="26">
        <v>0</v>
      </c>
      <c r="R14" s="26">
        <f>Q14</f>
        <v>0</v>
      </c>
      <c r="S14" s="26">
        <f>H12</f>
        <v>0</v>
      </c>
      <c r="T14" s="26">
        <v>0</v>
      </c>
      <c r="U14" s="26"/>
      <c r="V14" s="26"/>
      <c r="W14" s="26"/>
      <c r="X14" s="26" t="s">
        <v>135</v>
      </c>
      <c r="Y14" s="26">
        <v>0.10249999999999999</v>
      </c>
      <c r="Z14" s="26"/>
      <c r="AA14" s="26">
        <v>12</v>
      </c>
      <c r="AB14" s="26">
        <v>0.68</v>
      </c>
      <c r="AC14" s="26"/>
      <c r="AD14" s="26" t="s">
        <v>136</v>
      </c>
      <c r="AE14" s="26">
        <f>AB44</f>
        <v>1</v>
      </c>
      <c r="AF14" s="26"/>
      <c r="AG14" s="26"/>
      <c r="AH14" s="26">
        <v>5</v>
      </c>
      <c r="AI14" s="26"/>
      <c r="AJ14" s="26" t="s">
        <v>137</v>
      </c>
      <c r="AK14" s="26"/>
      <c r="AL14" s="26" t="e">
        <f>#REF!</f>
        <v>#REF!</v>
      </c>
      <c r="AM14" s="26"/>
      <c r="AN14" s="26">
        <v>6.5</v>
      </c>
      <c r="AO14" s="26" t="s">
        <v>59</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138</v>
      </c>
      <c r="CA14" s="26" t="s">
        <v>139</v>
      </c>
      <c r="CB14" s="26" t="s">
        <v>140</v>
      </c>
      <c r="CC14" s="26"/>
      <c r="CD14" s="26"/>
      <c r="CE14" s="26"/>
      <c r="CF14" s="26"/>
      <c r="CG14" s="26" t="s">
        <v>141</v>
      </c>
      <c r="CH14" s="26"/>
      <c r="CI14" s="26"/>
      <c r="CJ14" s="26"/>
      <c r="CK14" s="26" t="s">
        <v>142</v>
      </c>
      <c r="CL14" s="26"/>
      <c r="CM14" s="26"/>
      <c r="CN14" s="26"/>
      <c r="CO14" s="26"/>
      <c r="CP14" s="26"/>
      <c r="CQ14" s="26" t="s">
        <v>143</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3">
      <c r="B15" s="46" t="s">
        <v>144</v>
      </c>
      <c r="C15" s="49">
        <v>0</v>
      </c>
      <c r="D15" s="206" t="s">
        <v>145</v>
      </c>
      <c r="E15" s="207">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59</v>
      </c>
      <c r="AV15" s="26">
        <f>BG61+BG62</f>
        <v>33</v>
      </c>
      <c r="AW15" s="26">
        <f>IF(AW16=0,0,1)</f>
        <v>1</v>
      </c>
      <c r="AX15" s="26"/>
      <c r="AY15" s="26"/>
      <c r="AZ15" s="26" t="s">
        <v>59</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146</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147</v>
      </c>
      <c r="DM15" s="26"/>
      <c r="DN15" s="26"/>
      <c r="DO15" s="26"/>
      <c r="DP15" s="26"/>
      <c r="DQ15" s="26"/>
      <c r="DR15" s="26"/>
      <c r="DS15" s="26"/>
      <c r="DT15" s="26"/>
    </row>
    <row r="16" spans="1:124" ht="18.75" customHeight="1" x14ac:dyDescent="0.3">
      <c r="B16" s="34" t="s">
        <v>148</v>
      </c>
      <c r="C16" s="39">
        <v>1</v>
      </c>
      <c r="D16" s="206" t="s">
        <v>149</v>
      </c>
      <c r="E16" s="207"/>
      <c r="F16" s="26">
        <f>IF(AND(C19=F18,E25&gt;0),VLOOKUP(C17,CZ12:DA43,2,TRUE)*0.01+E25*0.007+0.006,IF(C19=F18,VLOOKUP(C17,CZ12:DA43,2,TRUE)*0.01,VLOOKUP(C17,CZ12:DB43,3,TRUE)*0.01))</f>
        <v>0.16800000000000001</v>
      </c>
      <c r="G16" s="26" t="str">
        <f>IF(C5=CC12,"לא מחושב להמרה","")</f>
        <v>לא מחושב להמרה</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151</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59</v>
      </c>
      <c r="BA16" s="26">
        <v>14</v>
      </c>
      <c r="BB16" s="26">
        <v>0.312</v>
      </c>
      <c r="BC16" s="26"/>
      <c r="BD16" s="26"/>
      <c r="BE16" s="26"/>
      <c r="BF16" s="26"/>
      <c r="BG16" s="26"/>
      <c r="BH16" s="26"/>
      <c r="BI16" s="26"/>
      <c r="BJ16" s="26"/>
      <c r="BK16" s="26" t="s">
        <v>152</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153</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154</v>
      </c>
      <c r="DM16" s="26"/>
      <c r="DN16" s="26"/>
      <c r="DO16" s="26"/>
      <c r="DP16" s="26"/>
      <c r="DQ16" s="26"/>
      <c r="DR16" s="26"/>
      <c r="DS16" s="26"/>
      <c r="DT16" s="26"/>
    </row>
    <row r="17" spans="2:124" x14ac:dyDescent="0.3">
      <c r="B17" s="41" t="str">
        <f>IF(C19=F18,"כיתות רגילות","כיתות חינוך מיוחד")</f>
        <v>כיתות רגילות</v>
      </c>
      <c r="C17" s="190">
        <f>IF(C19=F18,F25,F29)</f>
        <v>1</v>
      </c>
      <c r="D17" s="40" t="s">
        <v>155</v>
      </c>
      <c r="E17" s="38"/>
      <c r="F17" s="26"/>
      <c r="G17" s="26"/>
      <c r="H17" s="26"/>
      <c r="I17" s="26"/>
      <c r="J17" s="26"/>
      <c r="K17" s="26"/>
      <c r="L17" s="26"/>
      <c r="M17" s="26"/>
      <c r="N17" s="26"/>
      <c r="O17" s="26"/>
      <c r="P17" s="26" t="s">
        <v>156</v>
      </c>
      <c r="Q17" s="26">
        <v>0</v>
      </c>
      <c r="R17" s="26">
        <f>R10*1.2%*C8</f>
        <v>1339.2326399999999</v>
      </c>
      <c r="S17" s="26" t="s">
        <v>156</v>
      </c>
      <c r="T17" s="26">
        <v>0</v>
      </c>
      <c r="U17" s="26"/>
      <c r="V17" s="26"/>
      <c r="W17" s="26"/>
      <c r="X17" s="26"/>
      <c r="Y17" s="26"/>
      <c r="Z17" s="26"/>
      <c r="AA17" s="26" t="s">
        <v>157</v>
      </c>
      <c r="AB17" s="26" t="s">
        <v>71</v>
      </c>
      <c r="AC17" s="26"/>
      <c r="AD17" s="26"/>
      <c r="AE17" s="26"/>
      <c r="AF17" s="26"/>
      <c r="AG17" s="26"/>
      <c r="AH17" s="26">
        <v>67</v>
      </c>
      <c r="AI17" s="26">
        <f>IF(MONTH(J4)=9,1,0)</f>
        <v>0</v>
      </c>
      <c r="AJ17" s="26">
        <f>HLOOKUP(BG59,kothor1,3,FALSE)</f>
        <v>1</v>
      </c>
      <c r="AK17" s="26">
        <f>HLOOKUP(BG59,kothor1,2,FALSE)</f>
        <v>1</v>
      </c>
      <c r="AL17" s="26" t="s">
        <v>158</v>
      </c>
      <c r="AM17" s="26">
        <v>39844</v>
      </c>
      <c r="AN17" s="26">
        <v>8</v>
      </c>
      <c r="AO17" s="26">
        <v>8.5</v>
      </c>
      <c r="AP17" s="26" t="s">
        <v>159</v>
      </c>
      <c r="AQ17" s="26">
        <v>40442</v>
      </c>
      <c r="AR17" s="26"/>
      <c r="AS17" s="26"/>
      <c r="AT17" s="26"/>
      <c r="AU17" s="26" t="e">
        <f>"06/"&amp;MID(AV17,1,4)</f>
        <v>#NUM!</v>
      </c>
      <c r="AV17" s="26" t="e">
        <f>YEAR(AV16+J4)+AW15</f>
        <v>#NUM!</v>
      </c>
      <c r="AW17" s="26" t="s">
        <v>160</v>
      </c>
      <c r="AX17" s="26"/>
      <c r="AY17" s="26"/>
      <c r="AZ17" s="26"/>
      <c r="BA17" s="26">
        <v>15</v>
      </c>
      <c r="BB17" s="26">
        <v>0.33600000000000002</v>
      </c>
      <c r="BC17" s="26"/>
      <c r="BD17" s="26"/>
      <c r="BE17" s="26" t="s">
        <v>161</v>
      </c>
      <c r="BF17" s="26" t="s">
        <v>162</v>
      </c>
      <c r="BG17" s="26" t="s">
        <v>163</v>
      </c>
      <c r="BH17" s="26"/>
      <c r="BI17" s="26"/>
      <c r="BJ17" s="26"/>
      <c r="BK17" s="26" t="s">
        <v>164</v>
      </c>
      <c r="BL17" s="26">
        <f>F159</f>
        <v>0</v>
      </c>
      <c r="BM17" s="26"/>
      <c r="BN17" s="26"/>
      <c r="BO17" s="26"/>
      <c r="BP17" s="26"/>
      <c r="BQ17" s="26" t="s">
        <v>165</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166</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x14ac:dyDescent="0.3">
      <c r="B18" s="41" t="s">
        <v>167</v>
      </c>
      <c r="C18" s="190">
        <f>K66</f>
        <v>1</v>
      </c>
      <c r="D18" s="208" t="s">
        <v>155</v>
      </c>
      <c r="E18" s="209"/>
      <c r="F18" s="26" t="s">
        <v>108</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22</v>
      </c>
      <c r="X18" s="26"/>
      <c r="Y18" s="26"/>
      <c r="Z18" s="26"/>
      <c r="AA18" s="26"/>
      <c r="AB18" s="26"/>
      <c r="AC18" s="26"/>
      <c r="AD18" s="26" t="s">
        <v>59</v>
      </c>
      <c r="AE18" s="26"/>
      <c r="AF18" s="26" t="e">
        <f>1-#REF!/(#REF!+#REF!)</f>
        <v>#REF!</v>
      </c>
      <c r="AG18" s="26"/>
      <c r="AH18" s="26"/>
      <c r="AI18" s="26"/>
      <c r="AJ18" s="26"/>
      <c r="AK18" s="26"/>
      <c r="AL18" s="26" t="s">
        <v>168</v>
      </c>
      <c r="AM18" s="26">
        <v>39872</v>
      </c>
      <c r="AN18" s="26">
        <v>8.5</v>
      </c>
      <c r="AO18" s="26">
        <v>9</v>
      </c>
      <c r="AP18" s="26"/>
      <c r="AQ18" s="26"/>
      <c r="AR18" s="26"/>
      <c r="AS18" s="26" t="s">
        <v>169</v>
      </c>
      <c r="AT18" s="26"/>
      <c r="AU18" s="26"/>
      <c r="AV18" s="26"/>
      <c r="AW18" s="26"/>
      <c r="AX18" s="26"/>
      <c r="AY18" s="26" t="s">
        <v>170</v>
      </c>
      <c r="AZ18" s="26"/>
      <c r="BA18" s="26">
        <v>16</v>
      </c>
      <c r="BB18" s="26">
        <v>0.36</v>
      </c>
      <c r="BC18" s="26"/>
      <c r="BD18" s="26"/>
      <c r="BE18" s="26" t="s">
        <v>171</v>
      </c>
      <c r="BF18" s="26" t="s">
        <v>171</v>
      </c>
      <c r="BG18" s="26" t="s">
        <v>172</v>
      </c>
      <c r="BH18" s="26" t="s">
        <v>173</v>
      </c>
      <c r="BI18" s="26" t="s">
        <v>174</v>
      </c>
      <c r="BJ18" s="26" t="s">
        <v>175</v>
      </c>
      <c r="BK18" s="26" t="s">
        <v>176</v>
      </c>
      <c r="BL18" s="26"/>
      <c r="BM18" s="26"/>
      <c r="BN18" s="26"/>
      <c r="BO18" s="26"/>
      <c r="BP18" s="26"/>
      <c r="BQ18" s="26">
        <v>1114297</v>
      </c>
      <c r="BR18" s="26"/>
      <c r="BS18" s="26" t="s">
        <v>177</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178</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179</v>
      </c>
      <c r="DM18" s="26"/>
      <c r="DN18" s="26"/>
      <c r="DO18" s="26"/>
      <c r="DP18" s="26"/>
      <c r="DQ18" s="26"/>
      <c r="DR18" s="26"/>
      <c r="DS18" s="26"/>
      <c r="DT18" s="26"/>
    </row>
    <row r="19" spans="2:124" x14ac:dyDescent="0.3">
      <c r="B19" s="34" t="s">
        <v>180</v>
      </c>
      <c r="C19" s="35" t="s">
        <v>108</v>
      </c>
      <c r="D19" s="206" t="s">
        <v>181</v>
      </c>
      <c r="E19" s="207"/>
      <c r="F19" s="26" t="s">
        <v>182</v>
      </c>
      <c r="G19" s="26" t="s">
        <v>183</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59</v>
      </c>
      <c r="W19" s="26">
        <v>1</v>
      </c>
      <c r="X19" s="26"/>
      <c r="Y19" s="26"/>
      <c r="Z19" s="26"/>
      <c r="AA19" s="26" t="s">
        <v>184</v>
      </c>
      <c r="AB19" s="26">
        <v>5</v>
      </c>
      <c r="AC19" s="26"/>
      <c r="AD19" s="26"/>
      <c r="AE19" s="26" t="s">
        <v>59</v>
      </c>
      <c r="AF19" s="26" t="s">
        <v>59</v>
      </c>
      <c r="AG19" s="26" t="s">
        <v>185</v>
      </c>
      <c r="AH19" s="26"/>
      <c r="AI19" s="26"/>
      <c r="AJ19" s="26"/>
      <c r="AK19" s="26"/>
      <c r="AL19" s="26" t="s">
        <v>186</v>
      </c>
      <c r="AM19" s="26">
        <v>39903</v>
      </c>
      <c r="AN19" s="26">
        <v>9</v>
      </c>
      <c r="AO19" s="26" t="s">
        <v>187</v>
      </c>
      <c r="AP19" s="26" t="s">
        <v>102</v>
      </c>
      <c r="AQ19" s="26" t="s">
        <v>188</v>
      </c>
      <c r="AR19" s="26">
        <f>'[1]נתוני מס'!I22</f>
        <v>395</v>
      </c>
      <c r="AS19" s="26">
        <v>10</v>
      </c>
      <c r="AT19" s="26"/>
      <c r="AU19" s="26" t="s">
        <v>189</v>
      </c>
      <c r="AV19" s="26"/>
      <c r="AW19" s="26"/>
      <c r="AX19" s="26"/>
      <c r="AY19" s="26">
        <f>AQ20</f>
        <v>21262</v>
      </c>
      <c r="AZ19" s="26" t="s">
        <v>190</v>
      </c>
      <c r="BA19" s="26" t="s">
        <v>191</v>
      </c>
      <c r="BB19" s="26">
        <f>VLOOKUP(BG69,nihool,2,FALSE)</f>
        <v>0</v>
      </c>
      <c r="BC19" s="26"/>
      <c r="BD19" s="26"/>
      <c r="BE19" s="26" t="s">
        <v>176</v>
      </c>
      <c r="BF19" s="26" t="s">
        <v>192</v>
      </c>
      <c r="BG19" s="26" t="e">
        <f>#REF!/12</f>
        <v>#REF!</v>
      </c>
      <c r="BH19" s="26" t="e">
        <f>#REF!</f>
        <v>#REF!</v>
      </c>
      <c r="BI19" s="26" t="e">
        <f>#REF!/12-BJ102</f>
        <v>#REF!</v>
      </c>
      <c r="BJ19" s="26" t="e">
        <f>(12*(F222-Q26)+BG77)/12</f>
        <v>#REF!</v>
      </c>
      <c r="BK19" s="26" t="e">
        <f>(#REF!*((12-BJ31/12))+BG77/12*BJ32)/12+F159+BJ20*((12-BJ32)/12)</f>
        <v>#REF!</v>
      </c>
      <c r="BL19" s="26"/>
      <c r="BM19" s="26"/>
      <c r="BN19" s="26" t="s">
        <v>193</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194</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3">
      <c r="B20" s="52" t="s">
        <v>180</v>
      </c>
      <c r="C20" s="35" t="s">
        <v>183</v>
      </c>
      <c r="D20" s="206" t="s">
        <v>195</v>
      </c>
      <c r="E20" s="207"/>
      <c r="F20" s="26"/>
      <c r="G20" s="26" t="s">
        <v>196</v>
      </c>
      <c r="H20" s="26"/>
      <c r="I20" s="26"/>
      <c r="J20" s="26"/>
      <c r="K20" s="26"/>
      <c r="L20" s="26"/>
      <c r="M20" s="26"/>
      <c r="N20" s="26"/>
      <c r="O20" s="26" t="e">
        <f>D155*C9</f>
        <v>#N/A</v>
      </c>
      <c r="P20" s="26" t="s">
        <v>101</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197</v>
      </c>
      <c r="AB20" s="26" t="s">
        <v>71</v>
      </c>
      <c r="AC20" s="26"/>
      <c r="AD20" s="26" t="s">
        <v>198</v>
      </c>
      <c r="AE20" s="26" t="s">
        <v>59</v>
      </c>
      <c r="AF20" s="26" t="s">
        <v>59</v>
      </c>
      <c r="AG20" s="26" t="s">
        <v>199</v>
      </c>
      <c r="AH20" s="26"/>
      <c r="AI20" s="26"/>
      <c r="AJ20" s="26" t="s">
        <v>200</v>
      </c>
      <c r="AK20" s="26"/>
      <c r="AL20" s="26" t="s">
        <v>201</v>
      </c>
      <c r="AM20" s="26">
        <v>39933</v>
      </c>
      <c r="AN20" s="26"/>
      <c r="AO20" s="26"/>
      <c r="AP20" s="26" t="s">
        <v>190</v>
      </c>
      <c r="AQ20" s="26">
        <v>21262</v>
      </c>
      <c r="AR20" s="26"/>
      <c r="AS20" s="26" t="s">
        <v>202</v>
      </c>
      <c r="AT20" s="26"/>
      <c r="AU20" s="26">
        <v>0</v>
      </c>
      <c r="AV20" s="26"/>
      <c r="AW20" s="26"/>
      <c r="AX20" s="26"/>
      <c r="AY20" s="26"/>
      <c r="AZ20" s="26"/>
      <c r="BA20" s="26" t="s">
        <v>203</v>
      </c>
      <c r="BB20" s="26">
        <f>VLOOKUP(B168,nihool,2,FALSE)</f>
        <v>0</v>
      </c>
      <c r="BC20" s="26"/>
      <c r="BD20" s="26"/>
      <c r="BE20" s="26" t="e">
        <f>#REF!/12/#REF!+#REF!+F159-BJ102</f>
        <v>#REF!</v>
      </c>
      <c r="BF20" s="26" t="e">
        <f>#REF!/12+#REF!+F159-BJ102</f>
        <v>#REF!</v>
      </c>
      <c r="BG20" s="26" t="s">
        <v>204</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205</v>
      </c>
      <c r="BV20" s="26"/>
      <c r="BW20" s="26"/>
      <c r="BX20" s="26"/>
      <c r="BY20" s="26"/>
      <c r="BZ20" s="26" t="s">
        <v>206</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207</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3">
      <c r="B21" s="52" t="s">
        <v>208</v>
      </c>
      <c r="C21" s="190" t="str">
        <f>G3</f>
        <v>מנהל אקדמאי קיים</v>
      </c>
      <c r="D21" s="210" t="s">
        <v>209</v>
      </c>
      <c r="E21" s="211"/>
      <c r="F21" s="26"/>
      <c r="G21" s="26"/>
      <c r="H21" s="26"/>
      <c r="I21" s="26"/>
      <c r="J21" s="26"/>
      <c r="K21" s="26" t="s">
        <v>211</v>
      </c>
      <c r="L21" s="26"/>
      <c r="M21" s="26"/>
      <c r="N21" s="26"/>
      <c r="O21" s="26">
        <f>N21*C9</f>
        <v>0</v>
      </c>
      <c r="P21" s="26" t="s">
        <v>210</v>
      </c>
      <c r="Q21" s="26" t="e">
        <f>BB19*Q20</f>
        <v>#REF!</v>
      </c>
      <c r="R21" s="26">
        <f>BB19*R20</f>
        <v>0</v>
      </c>
      <c r="S21" s="26" t="e">
        <f>#REF!</f>
        <v>#REF!</v>
      </c>
      <c r="T21" s="26" t="e">
        <f>U21*T20</f>
        <v>#REF!</v>
      </c>
      <c r="U21" s="26">
        <f>IF(BB19=0,0,IF((BB19+V21)&gt;36%,36%,BB19+V21))</f>
        <v>0</v>
      </c>
      <c r="V21" s="26" t="e">
        <f>(G179-T7)*2.4%</f>
        <v>#REF!</v>
      </c>
      <c r="W21" s="26"/>
      <c r="X21" s="26"/>
      <c r="Y21" s="26"/>
      <c r="Z21" s="26"/>
      <c r="AA21" s="26" t="s">
        <v>212</v>
      </c>
      <c r="AB21" s="26" t="s">
        <v>200</v>
      </c>
      <c r="AC21" s="26"/>
      <c r="AD21" s="26" t="s">
        <v>27</v>
      </c>
      <c r="AE21" s="26" t="s">
        <v>59</v>
      </c>
      <c r="AF21" s="26" t="s">
        <v>59</v>
      </c>
      <c r="AG21" s="26" t="s">
        <v>213</v>
      </c>
      <c r="AH21" s="26"/>
      <c r="AI21" s="26"/>
      <c r="AJ21" s="26"/>
      <c r="AK21" s="26"/>
      <c r="AL21" s="26" t="s">
        <v>214</v>
      </c>
      <c r="AM21" s="26">
        <v>39964</v>
      </c>
      <c r="AN21" s="26"/>
      <c r="AO21" s="26"/>
      <c r="AP21" s="26" t="s">
        <v>215</v>
      </c>
      <c r="AQ21" s="26" t="s">
        <v>216</v>
      </c>
      <c r="AR21" s="26"/>
      <c r="AS21" s="26">
        <v>11</v>
      </c>
      <c r="AT21" s="26"/>
      <c r="AU21" s="26">
        <v>0.5</v>
      </c>
      <c r="AV21" s="26"/>
      <c r="AW21" s="26"/>
      <c r="AX21" s="26" t="s">
        <v>59</v>
      </c>
      <c r="AY21" s="26">
        <v>17288</v>
      </c>
      <c r="AZ21" s="26">
        <v>17288</v>
      </c>
      <c r="BA21" s="26"/>
      <c r="BB21" s="26" t="s">
        <v>217</v>
      </c>
      <c r="BC21" s="26"/>
      <c r="BD21" s="26"/>
      <c r="BE21" s="26" t="s">
        <v>218</v>
      </c>
      <c r="BF21" s="26"/>
      <c r="BG21" s="26"/>
      <c r="BH21" s="26" t="s">
        <v>219</v>
      </c>
      <c r="BI21" s="26" t="s">
        <v>220</v>
      </c>
      <c r="BJ21" s="26" t="s">
        <v>173</v>
      </c>
      <c r="BK21" s="26" t="s">
        <v>221</v>
      </c>
      <c r="BL21" s="26" t="s">
        <v>222</v>
      </c>
      <c r="BM21" s="26" t="s">
        <v>223</v>
      </c>
      <c r="BN21" s="26" t="s">
        <v>224</v>
      </c>
      <c r="BO21" s="26"/>
      <c r="BP21" s="26" t="s">
        <v>225</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226</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227</v>
      </c>
      <c r="DL21" s="26">
        <v>43.7</v>
      </c>
      <c r="DM21" s="26"/>
      <c r="DN21" s="26"/>
      <c r="DO21" s="26"/>
      <c r="DP21" s="26"/>
      <c r="DQ21" s="26"/>
      <c r="DR21" s="26"/>
      <c r="DS21" s="26"/>
      <c r="DT21" s="26"/>
    </row>
    <row r="22" spans="2:124" ht="14.25" customHeight="1" x14ac:dyDescent="0.3">
      <c r="B22" s="26"/>
      <c r="C22" s="26"/>
      <c r="D22" s="26"/>
      <c r="E22" s="26"/>
      <c r="F22" s="26"/>
      <c r="G22" s="26"/>
      <c r="H22" s="26"/>
      <c r="I22" s="26"/>
      <c r="J22" s="26"/>
      <c r="K22" s="26" t="s">
        <v>211</v>
      </c>
      <c r="L22" s="26"/>
      <c r="M22" s="26"/>
      <c r="N22" s="26"/>
      <c r="O22" s="26">
        <f>J23</f>
        <v>0</v>
      </c>
      <c r="P22" s="26" t="s">
        <v>228</v>
      </c>
      <c r="Q22" s="26" t="e">
        <f>AB16*Q10</f>
        <v>#REF!</v>
      </c>
      <c r="R22" s="26">
        <f>AB16*R10</f>
        <v>0</v>
      </c>
      <c r="S22" s="26" t="e">
        <f>#REF!</f>
        <v>#REF!</v>
      </c>
      <c r="T22" s="26" t="e">
        <f>U22*T10</f>
        <v>#REF!</v>
      </c>
      <c r="U22" s="26">
        <f>VLOOKUP(INT(V22),ghad1,2,FALSE)</f>
        <v>0</v>
      </c>
      <c r="V22" s="26">
        <f>IF(AB16=0,0,IF(60-T7+BG70&gt;13,13,60-T7+BG70))</f>
        <v>0</v>
      </c>
      <c r="W22" s="26" t="s">
        <v>229</v>
      </c>
      <c r="X22" s="26">
        <f>IF(C39=16%,IF(OR(C5=CB16,C5=CC16,C5=CD16),0.8,0.9),0.8)</f>
        <v>0.8</v>
      </c>
      <c r="Y22" s="26"/>
      <c r="Z22" s="26"/>
      <c r="AA22" s="26" t="s">
        <v>230</v>
      </c>
      <c r="AB22" s="26"/>
      <c r="AC22" s="26"/>
      <c r="AD22" s="26"/>
      <c r="AE22" s="26" t="s">
        <v>59</v>
      </c>
      <c r="AF22" s="26" t="s">
        <v>59</v>
      </c>
      <c r="AG22" s="26" t="s">
        <v>231</v>
      </c>
      <c r="AH22" s="26" t="s">
        <v>59</v>
      </c>
      <c r="AI22" s="26"/>
      <c r="AJ22" s="26" t="s">
        <v>232</v>
      </c>
      <c r="AK22" s="26"/>
      <c r="AL22" s="26" t="s">
        <v>233</v>
      </c>
      <c r="AM22" s="26">
        <v>39994</v>
      </c>
      <c r="AN22" s="26"/>
      <c r="AO22" s="26"/>
      <c r="AP22" s="26" t="s">
        <v>234</v>
      </c>
      <c r="AQ22" s="26">
        <v>28734</v>
      </c>
      <c r="AR22" s="26"/>
      <c r="AS22" s="26" t="s">
        <v>235</v>
      </c>
      <c r="AT22" s="26"/>
      <c r="AU22" s="26">
        <v>1</v>
      </c>
      <c r="AV22" s="26"/>
      <c r="AW22" s="26"/>
      <c r="AX22" s="26" t="s">
        <v>59</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236</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237</v>
      </c>
      <c r="DM22" s="26"/>
      <c r="DN22" s="26"/>
      <c r="DO22" s="26"/>
      <c r="DP22" s="26"/>
      <c r="DQ22" s="26"/>
      <c r="DR22" s="26"/>
      <c r="DS22" s="26"/>
      <c r="DT22" s="26"/>
    </row>
    <row r="23" spans="2:124" ht="15.75" customHeight="1" thickBot="1" x14ac:dyDescent="0.35">
      <c r="B23" s="26"/>
      <c r="D23" s="53" t="s">
        <v>108</v>
      </c>
      <c r="F23" s="26"/>
      <c r="G23" s="26"/>
      <c r="H23" s="26"/>
      <c r="I23" s="26"/>
      <c r="J23" s="26"/>
      <c r="K23" s="26" t="s">
        <v>211</v>
      </c>
      <c r="L23" s="26"/>
      <c r="M23" s="26"/>
      <c r="N23" s="26"/>
      <c r="O23" s="26">
        <v>0</v>
      </c>
      <c r="P23" s="26" t="s">
        <v>238</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239</v>
      </c>
      <c r="AA23" s="26"/>
      <c r="AB23" s="26">
        <v>0</v>
      </c>
      <c r="AC23" s="26"/>
      <c r="AD23" s="26"/>
      <c r="AE23" s="26" t="s">
        <v>59</v>
      </c>
      <c r="AF23" s="26" t="s">
        <v>240</v>
      </c>
      <c r="AG23" s="26" t="s">
        <v>241</v>
      </c>
      <c r="AH23" s="26"/>
      <c r="AI23" s="26"/>
      <c r="AJ23" s="26" t="s">
        <v>242</v>
      </c>
      <c r="AK23" s="26">
        <v>389</v>
      </c>
      <c r="AL23" s="26" t="s">
        <v>243</v>
      </c>
      <c r="AM23" s="26">
        <v>40025</v>
      </c>
      <c r="AN23" s="26"/>
      <c r="AO23" s="26"/>
      <c r="AP23" s="26">
        <v>16</v>
      </c>
      <c r="AQ23" s="26">
        <v>11</v>
      </c>
      <c r="AR23" s="26"/>
      <c r="AS23" s="26">
        <v>12</v>
      </c>
      <c r="AT23" s="26"/>
      <c r="AU23" s="26">
        <v>1.5</v>
      </c>
      <c r="AV23" s="26"/>
      <c r="AW23" s="26"/>
      <c r="AX23" s="26" t="s">
        <v>59</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244</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154</v>
      </c>
      <c r="DL23" s="26" t="s">
        <v>245</v>
      </c>
      <c r="DM23" s="26"/>
      <c r="DN23" s="26"/>
      <c r="DO23" s="26"/>
      <c r="DP23" s="26"/>
      <c r="DQ23" s="26"/>
      <c r="DR23" s="26"/>
      <c r="DS23" s="26"/>
      <c r="DT23" s="26"/>
    </row>
    <row r="24" spans="2:124" ht="15.75" customHeight="1" thickBot="1" x14ac:dyDescent="0.4">
      <c r="B24" s="26"/>
      <c r="C24" s="55" t="s">
        <v>246</v>
      </c>
      <c r="D24" s="55" t="s">
        <v>247</v>
      </c>
      <c r="E24" s="55" t="s">
        <v>248</v>
      </c>
      <c r="F24" s="56" t="s">
        <v>249</v>
      </c>
      <c r="G24" s="26"/>
      <c r="H24" s="26"/>
      <c r="I24" s="26"/>
      <c r="J24" s="26"/>
      <c r="K24" s="26" t="s">
        <v>211</v>
      </c>
      <c r="L24" s="26"/>
      <c r="M24" s="26"/>
      <c r="N24" s="26">
        <f>I25</f>
        <v>0</v>
      </c>
      <c r="O24" s="26">
        <f>J25</f>
        <v>0</v>
      </c>
      <c r="P24" s="26" t="s">
        <v>250</v>
      </c>
      <c r="Q24" s="26" t="e">
        <f>Q5*BG72</f>
        <v>#REF!</v>
      </c>
      <c r="R24" s="26">
        <f>Q25</f>
        <v>0</v>
      </c>
      <c r="S24" s="26" t="s">
        <v>251</v>
      </c>
      <c r="T24" s="26" t="e">
        <f>T5*BG72</f>
        <v>#REF!</v>
      </c>
      <c r="U24" s="26"/>
      <c r="V24" s="26"/>
      <c r="W24" s="26"/>
      <c r="X24" s="26" t="s">
        <v>252</v>
      </c>
      <c r="Y24" s="26"/>
      <c r="Z24" s="26"/>
      <c r="AA24" s="26"/>
      <c r="AB24" s="26"/>
      <c r="AC24" s="26"/>
      <c r="AD24" s="26"/>
      <c r="AE24" s="26" t="s">
        <v>59</v>
      </c>
      <c r="AF24" s="26"/>
      <c r="AG24" s="26" t="s">
        <v>59</v>
      </c>
      <c r="AH24" s="26"/>
      <c r="AI24" s="26"/>
      <c r="AJ24" s="26" t="s">
        <v>253</v>
      </c>
      <c r="AK24" s="26">
        <v>0.59709999999999996</v>
      </c>
      <c r="AL24" s="26" t="s">
        <v>254</v>
      </c>
      <c r="AM24" s="26">
        <v>40056</v>
      </c>
      <c r="AN24" s="26"/>
      <c r="AO24" s="26"/>
      <c r="AP24" s="26">
        <v>20</v>
      </c>
      <c r="AQ24" s="26">
        <v>12</v>
      </c>
      <c r="AR24" s="26"/>
      <c r="AS24" s="26" t="s">
        <v>255</v>
      </c>
      <c r="AT24" s="26" t="s">
        <v>256</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257</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258</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259</v>
      </c>
      <c r="DL24" s="26" t="s">
        <v>260</v>
      </c>
      <c r="DM24" s="26"/>
      <c r="DN24" s="26"/>
      <c r="DO24" s="26"/>
      <c r="DP24" s="26"/>
      <c r="DQ24" s="26"/>
      <c r="DR24" s="26"/>
      <c r="DS24" s="26"/>
      <c r="DT24" s="26"/>
    </row>
    <row r="25" spans="2:124" ht="15" customHeight="1" x14ac:dyDescent="0.3">
      <c r="B25" s="57" t="s">
        <v>261</v>
      </c>
      <c r="C25" s="57">
        <v>1</v>
      </c>
      <c r="D25" s="57">
        <v>0</v>
      </c>
      <c r="E25" s="57">
        <v>0</v>
      </c>
      <c r="F25" s="58">
        <f>SUM(C25:E25)</f>
        <v>1</v>
      </c>
      <c r="G25" s="26" t="s">
        <v>262</v>
      </c>
      <c r="H25" s="26"/>
      <c r="I25" s="26"/>
      <c r="J25" s="26"/>
      <c r="K25" s="26" t="s">
        <v>211</v>
      </c>
      <c r="L25" s="26"/>
      <c r="M25" s="26"/>
      <c r="N25" s="26">
        <f>SUM(N7:N24)</f>
        <v>593</v>
      </c>
      <c r="O25" s="26" t="e">
        <f>SUM(O7:O24)</f>
        <v>#N/A</v>
      </c>
      <c r="P25" s="26" t="str">
        <f>BF73</f>
        <v>תוספת ערבה</v>
      </c>
      <c r="Q25" s="26">
        <f>BG73</f>
        <v>0</v>
      </c>
      <c r="R25" s="26">
        <f>SUM(R10:R24)*'[1]נתוני מס'!L23</f>
        <v>319.29222914316</v>
      </c>
      <c r="S25" s="26" t="str">
        <f>P25</f>
        <v>תוספת ערבה</v>
      </c>
      <c r="T25" s="26">
        <f>BG73</f>
        <v>0</v>
      </c>
      <c r="U25" s="26"/>
      <c r="V25" s="26"/>
      <c r="W25" s="26">
        <f>IF(BG59=CB16,10%,IF(BG59=CC16,5%,0))</f>
        <v>0.1</v>
      </c>
      <c r="X25" s="26" t="s">
        <v>263</v>
      </c>
      <c r="Y25" s="26"/>
      <c r="Z25" s="26"/>
      <c r="AA25" s="26"/>
      <c r="AB25" s="26"/>
      <c r="AC25" s="26">
        <v>40147</v>
      </c>
      <c r="AD25" s="26"/>
      <c r="AE25" s="26" t="s">
        <v>264</v>
      </c>
      <c r="AF25" s="26" t="e">
        <f>IF(BF50&lt;60,MIN(BA43:BA45),0)</f>
        <v>#REF!</v>
      </c>
      <c r="AG25" s="26"/>
      <c r="AH25" s="26"/>
      <c r="AI25" s="26"/>
      <c r="AJ25" s="26" t="s">
        <v>265</v>
      </c>
      <c r="AK25" s="26">
        <v>40574</v>
      </c>
      <c r="AL25" s="26" t="s">
        <v>151</v>
      </c>
      <c r="AM25" s="26">
        <v>40086</v>
      </c>
      <c r="AN25" s="26"/>
      <c r="AO25" s="26"/>
      <c r="AP25" s="26">
        <v>25</v>
      </c>
      <c r="AQ25" s="26">
        <v>13</v>
      </c>
      <c r="AR25" s="26"/>
      <c r="AS25" s="26">
        <v>13</v>
      </c>
      <c r="AT25" s="26">
        <v>34</v>
      </c>
      <c r="AU25" s="26">
        <v>2.5</v>
      </c>
      <c r="AV25" s="26"/>
      <c r="AW25" s="26"/>
      <c r="AX25" s="26"/>
      <c r="AY25" s="26">
        <v>18994</v>
      </c>
      <c r="AZ25" s="26">
        <v>18994</v>
      </c>
      <c r="BA25" s="26"/>
      <c r="BB25" s="26" t="s">
        <v>138</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266</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267</v>
      </c>
      <c r="DL25" s="26" t="s">
        <v>268</v>
      </c>
      <c r="DM25" s="26"/>
      <c r="DN25" s="26"/>
      <c r="DO25" s="26"/>
      <c r="DP25" s="26"/>
      <c r="DQ25" s="26"/>
      <c r="DR25" s="26"/>
      <c r="DS25" s="26"/>
      <c r="DT25" s="26"/>
    </row>
    <row r="26" spans="2:124" ht="18.75" customHeight="1" x14ac:dyDescent="0.3">
      <c r="B26" s="51" t="s">
        <v>269</v>
      </c>
      <c r="C26" s="54">
        <f>C25*1</f>
        <v>1</v>
      </c>
      <c r="D26" s="54">
        <f>D25*1.1</f>
        <v>0</v>
      </c>
      <c r="E26" s="54">
        <f>E25*2</f>
        <v>0</v>
      </c>
      <c r="F26" s="59">
        <f>SUM(C26:E26)</f>
        <v>1</v>
      </c>
      <c r="G26" s="26" t="s">
        <v>270</v>
      </c>
      <c r="H26" s="26"/>
      <c r="I26" s="26"/>
      <c r="J26" s="26"/>
      <c r="K26" s="26"/>
      <c r="L26" s="26"/>
      <c r="M26" s="26"/>
      <c r="N26" s="26"/>
      <c r="O26" s="26"/>
      <c r="P26" s="26"/>
      <c r="Q26" s="26" t="e">
        <f>SUM(Q10:Q25)</f>
        <v>#REF!</v>
      </c>
      <c r="R26" s="26">
        <f>SUM(R10:R24)*'[1]נתוני מס'!L22*(1+'[1]נתוני מס'!L23)</f>
        <v>431.86047837329858</v>
      </c>
      <c r="S26" s="26" t="s">
        <v>271</v>
      </c>
      <c r="T26" s="26" t="e">
        <f>SUM(T10:T25)</f>
        <v>#REF!</v>
      </c>
      <c r="U26" s="26"/>
      <c r="V26" s="26"/>
      <c r="W26" s="26"/>
      <c r="X26" s="26"/>
      <c r="Y26" s="26"/>
      <c r="Z26" s="26"/>
      <c r="AA26" s="26"/>
      <c r="AB26" s="26"/>
      <c r="AC26" s="26">
        <v>147.53</v>
      </c>
      <c r="AD26" s="26"/>
      <c r="AE26" s="26"/>
      <c r="AF26" s="26"/>
      <c r="AG26" s="26"/>
      <c r="AH26" s="26"/>
      <c r="AI26" s="26"/>
      <c r="AJ26" s="26" t="s">
        <v>216</v>
      </c>
      <c r="AK26" s="26"/>
      <c r="AL26" s="26" t="s">
        <v>272</v>
      </c>
      <c r="AM26" s="26">
        <v>40117</v>
      </c>
      <c r="AN26" s="26"/>
      <c r="AO26" s="26"/>
      <c r="AP26" s="26"/>
      <c r="AQ26" s="26"/>
      <c r="AR26" s="26"/>
      <c r="AS26" s="26" t="s">
        <v>273</v>
      </c>
      <c r="AT26" s="26" t="s">
        <v>274</v>
      </c>
      <c r="AU26" s="26">
        <v>3</v>
      </c>
      <c r="AV26" s="26"/>
      <c r="AW26" s="26"/>
      <c r="AX26" s="26"/>
      <c r="AY26" s="26">
        <v>19238</v>
      </c>
      <c r="AZ26" s="26">
        <v>19238</v>
      </c>
      <c r="BA26" s="26"/>
      <c r="BB26" s="26" t="s">
        <v>275</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224</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276</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268</v>
      </c>
      <c r="DM26" s="26"/>
      <c r="DN26" s="26"/>
      <c r="DO26" s="26"/>
      <c r="DP26" s="26"/>
      <c r="DQ26" s="26"/>
      <c r="DR26" s="26"/>
      <c r="DS26" s="26"/>
      <c r="DT26" s="26"/>
    </row>
    <row r="27" spans="2:124" ht="23.25" customHeight="1" thickBot="1" x14ac:dyDescent="0.35">
      <c r="C27" s="60"/>
      <c r="D27" s="60" t="s">
        <v>182</v>
      </c>
      <c r="E27" s="60"/>
      <c r="G27" s="26"/>
      <c r="H27" s="26"/>
      <c r="I27" s="26"/>
      <c r="J27" s="26"/>
      <c r="K27" s="26"/>
      <c r="L27" s="26"/>
      <c r="M27" s="26"/>
      <c r="N27" s="26"/>
      <c r="O27" s="26"/>
      <c r="P27" s="26"/>
      <c r="Q27" s="26"/>
      <c r="R27" s="26">
        <f>SUM(R10:R26)</f>
        <v>9620.3812948264604</v>
      </c>
      <c r="S27" s="26" t="s">
        <v>279</v>
      </c>
      <c r="T27" s="26" t="e">
        <f>(T26*V8+D234*H193)/T9</f>
        <v>#REF!</v>
      </c>
      <c r="U27" s="26" t="s">
        <v>59</v>
      </c>
      <c r="V27" s="26"/>
      <c r="W27" s="26"/>
      <c r="X27" s="26"/>
      <c r="Y27" s="26"/>
      <c r="Z27" s="26"/>
      <c r="AA27" s="26"/>
      <c r="AB27" s="26"/>
      <c r="AC27" s="26"/>
      <c r="AD27" s="26"/>
      <c r="AE27" s="26" t="s">
        <v>275</v>
      </c>
      <c r="AF27" s="26">
        <f>YEAR(AK25)-YEAR(J4)+BC26</f>
        <v>144</v>
      </c>
      <c r="AG27" s="26"/>
      <c r="AH27" s="26"/>
      <c r="AI27" s="26" t="s">
        <v>280</v>
      </c>
      <c r="AJ27" s="26" t="s">
        <v>281</v>
      </c>
      <c r="AK27" s="26" t="s">
        <v>282</v>
      </c>
      <c r="AL27" s="26" t="s">
        <v>283</v>
      </c>
      <c r="AM27" s="26">
        <v>40147</v>
      </c>
      <c r="AN27" s="26"/>
      <c r="AO27" s="26"/>
      <c r="AP27" s="26"/>
      <c r="AQ27" s="26" t="s">
        <v>59</v>
      </c>
      <c r="AR27" s="26">
        <f>VLOOKUP(AF27,__HAV2,2,TRUE)</f>
        <v>13</v>
      </c>
      <c r="AS27" s="26">
        <v>14</v>
      </c>
      <c r="AT27" s="26">
        <v>35</v>
      </c>
      <c r="AU27" s="26"/>
      <c r="AV27" s="26"/>
      <c r="AW27" s="26"/>
      <c r="AX27" s="26"/>
      <c r="AY27" s="26">
        <v>19480</v>
      </c>
      <c r="AZ27" s="26">
        <v>19480</v>
      </c>
      <c r="BA27" s="26" t="s">
        <v>284</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285</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286</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268</v>
      </c>
      <c r="DM27" s="26"/>
      <c r="DN27" s="26"/>
      <c r="DO27" s="26"/>
      <c r="DP27" s="26"/>
      <c r="DQ27" s="26"/>
      <c r="DR27" s="26"/>
      <c r="DS27" s="26"/>
      <c r="DT27" s="26"/>
    </row>
    <row r="28" spans="2:124" ht="15" customHeight="1" thickBot="1" x14ac:dyDescent="0.4">
      <c r="C28" s="55" t="s">
        <v>287</v>
      </c>
      <c r="D28" s="55" t="s">
        <v>288</v>
      </c>
      <c r="E28" s="55" t="s">
        <v>289</v>
      </c>
      <c r="F28" s="56" t="s">
        <v>249</v>
      </c>
      <c r="G28" s="26"/>
      <c r="H28" s="26"/>
      <c r="I28" s="26"/>
      <c r="J28" s="26"/>
      <c r="K28" s="26"/>
      <c r="L28" s="26"/>
      <c r="M28" s="26"/>
      <c r="N28" s="26"/>
      <c r="O28" s="26" t="s">
        <v>277</v>
      </c>
      <c r="P28" s="26">
        <f>I27+I21</f>
        <v>0</v>
      </c>
      <c r="Q28" s="26">
        <f>J27+J21</f>
        <v>0</v>
      </c>
      <c r="R28" s="26"/>
      <c r="S28" s="26"/>
      <c r="T28" s="26"/>
      <c r="U28" s="26"/>
      <c r="V28" s="26"/>
      <c r="W28" s="26"/>
      <c r="X28" s="26"/>
      <c r="Y28" s="26"/>
      <c r="Z28" s="26"/>
      <c r="AA28" s="26"/>
      <c r="AB28" s="26"/>
      <c r="AC28" s="26">
        <v>164.07</v>
      </c>
      <c r="AD28" s="26"/>
      <c r="AE28" s="26" t="s">
        <v>292</v>
      </c>
      <c r="AF28" s="26">
        <f>BC24</f>
        <v>33</v>
      </c>
      <c r="AG28" s="26"/>
      <c r="AH28" s="26" t="s">
        <v>191</v>
      </c>
      <c r="AI28" s="26">
        <f>IF(BC24&gt;AF29,AF29,BC24)</f>
        <v>33</v>
      </c>
      <c r="AJ28" s="26" t="e">
        <f>IF(AB21=#REF!,1.5*AK28,1*AK28)</f>
        <v>#REF!</v>
      </c>
      <c r="AK28" s="26">
        <f>IF(AB21=AJ20,1,IF(BC24&gt;30,0.75,1))</f>
        <v>1</v>
      </c>
      <c r="AL28" s="26" t="s">
        <v>293</v>
      </c>
      <c r="AM28" s="26">
        <v>40178</v>
      </c>
      <c r="AN28" s="26"/>
      <c r="AO28" s="26"/>
      <c r="AP28" s="26"/>
      <c r="AQ28" s="26"/>
      <c r="AR28" s="26"/>
      <c r="AS28" s="26" t="s">
        <v>294</v>
      </c>
      <c r="AT28" s="26" t="s">
        <v>295</v>
      </c>
      <c r="AU28" s="26"/>
      <c r="AV28" s="26"/>
      <c r="AW28" s="26"/>
      <c r="AX28" s="26"/>
      <c r="AY28" s="26"/>
      <c r="AZ28" s="26"/>
      <c r="BA28" s="26"/>
      <c r="BB28" s="26" t="s">
        <v>59</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296</v>
      </c>
      <c r="CR28" s="26"/>
      <c r="CS28" s="26"/>
      <c r="CT28" s="26"/>
      <c r="CU28" s="26"/>
      <c r="CV28" s="26">
        <v>17</v>
      </c>
      <c r="CW28" s="26">
        <v>59.6</v>
      </c>
      <c r="CX28" s="26"/>
      <c r="CY28" s="26"/>
      <c r="CZ28" s="26">
        <v>17</v>
      </c>
      <c r="DA28" s="26">
        <v>47</v>
      </c>
      <c r="DB28" s="26">
        <v>56.14</v>
      </c>
      <c r="DC28" s="26"/>
      <c r="DD28" s="26">
        <v>17</v>
      </c>
      <c r="DE28" s="26">
        <v>26.4</v>
      </c>
      <c r="DF28" s="26">
        <v>28.2</v>
      </c>
      <c r="DG28" s="26"/>
      <c r="DH28" s="26" t="s">
        <v>297</v>
      </c>
      <c r="DI28" s="26"/>
      <c r="DJ28" s="26"/>
      <c r="DK28" s="26" t="s">
        <v>298</v>
      </c>
      <c r="DL28" s="26" t="s">
        <v>268</v>
      </c>
      <c r="DM28" s="26"/>
      <c r="DN28" s="26"/>
      <c r="DO28" s="26"/>
      <c r="DP28" s="26"/>
      <c r="DQ28" s="26"/>
      <c r="DR28" s="26"/>
      <c r="DS28" s="26"/>
      <c r="DT28" s="26"/>
    </row>
    <row r="29" spans="2:124" ht="14.25" customHeight="1" x14ac:dyDescent="0.3">
      <c r="B29" s="35" t="s">
        <v>261</v>
      </c>
      <c r="C29" s="35">
        <v>15</v>
      </c>
      <c r="D29" s="35">
        <v>0</v>
      </c>
      <c r="E29" s="35">
        <v>0</v>
      </c>
      <c r="F29" s="60">
        <f>SUM(C29:E29)</f>
        <v>15</v>
      </c>
      <c r="G29" s="26"/>
      <c r="H29" s="26"/>
      <c r="I29" s="26"/>
      <c r="J29" s="26"/>
      <c r="K29" s="26"/>
      <c r="L29" s="26"/>
      <c r="M29" s="26"/>
      <c r="N29" s="26"/>
      <c r="O29" s="26" t="s">
        <v>290</v>
      </c>
      <c r="P29" s="26">
        <f>3.4%*P28</f>
        <v>0</v>
      </c>
      <c r="Q29" s="26" t="e">
        <f>(Q28*1.034*1.15-P33)/P33</f>
        <v>#N/A</v>
      </c>
      <c r="R29" s="26" t="s">
        <v>301</v>
      </c>
      <c r="S29" s="26">
        <f>C134</f>
        <v>35</v>
      </c>
      <c r="T29" s="26" t="e">
        <f>U32+W32</f>
        <v>#REF!</v>
      </c>
      <c r="U29" s="26" t="s">
        <v>31</v>
      </c>
      <c r="V29" s="26"/>
      <c r="W29" s="26"/>
      <c r="X29" s="26"/>
      <c r="Y29" s="26"/>
      <c r="Z29" s="26"/>
      <c r="AA29" s="26" t="s">
        <v>302</v>
      </c>
      <c r="AB29" s="26">
        <f>IF(BG71=AD20,12%,0)</f>
        <v>0</v>
      </c>
      <c r="AC29" s="26"/>
      <c r="AD29" s="26"/>
      <c r="AE29" s="26" t="s">
        <v>303</v>
      </c>
      <c r="AF29" s="26">
        <v>36</v>
      </c>
      <c r="AG29" s="26"/>
      <c r="AH29" s="26" t="s">
        <v>304</v>
      </c>
      <c r="AI29" s="26">
        <f>IF((AI28+AG38)&gt;AF29,AF29,AI28+AG38)</f>
        <v>36</v>
      </c>
      <c r="AJ29" s="26"/>
      <c r="AK29" s="26"/>
      <c r="AL29" s="26"/>
      <c r="AM29" s="26">
        <v>40209</v>
      </c>
      <c r="AN29" s="26"/>
      <c r="AO29" s="26"/>
      <c r="AP29" s="26"/>
      <c r="AQ29" s="26"/>
      <c r="AR29" s="26"/>
      <c r="AS29" s="26">
        <v>15</v>
      </c>
      <c r="AT29" s="26">
        <v>36</v>
      </c>
      <c r="AU29" s="26"/>
      <c r="AV29" s="26"/>
      <c r="AW29" s="26" t="s">
        <v>305</v>
      </c>
      <c r="AX29" s="26"/>
      <c r="AY29" s="26">
        <f>IF(MONTH(J4)=1,1,0)</f>
        <v>1</v>
      </c>
      <c r="AZ29" s="26"/>
      <c r="BA29" s="26" t="s">
        <v>306</v>
      </c>
      <c r="BB29" s="26" t="e">
        <f>(Q26-#REF!)*12</f>
        <v>#REF!</v>
      </c>
      <c r="BC29" s="26"/>
      <c r="BD29" s="26"/>
      <c r="BE29" s="26"/>
      <c r="BF29" s="26" t="s">
        <v>307</v>
      </c>
      <c r="BG29" s="26" t="s">
        <v>308</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309</v>
      </c>
      <c r="BQ29" s="26"/>
      <c r="BR29" s="26"/>
      <c r="BS29" s="26" t="e">
        <f>IF($BR$28=0%,BS27,IF(BS21&lt;$BP$20,BS27*$BI$99,BS27-($BP$28*BS28)))</f>
        <v>#REF!</v>
      </c>
      <c r="BT29" s="26"/>
      <c r="BU29" s="26" t="e">
        <f>IF($BR$28=0%,BU27,IF(BU21&lt;$BP$20,BU27*$BI$99,BU27-($BP$28*BU28)))</f>
        <v>#REF!</v>
      </c>
      <c r="BV29" s="26" t="s">
        <v>310</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268</v>
      </c>
      <c r="DM29" s="26"/>
      <c r="DN29" s="26"/>
      <c r="DO29" s="26"/>
      <c r="DP29" s="26"/>
      <c r="DQ29" s="26"/>
      <c r="DR29" s="26"/>
      <c r="DS29" s="26"/>
      <c r="DT29" s="26"/>
    </row>
    <row r="30" spans="2:124" ht="14.25" customHeight="1" x14ac:dyDescent="0.3">
      <c r="B30" s="51" t="s">
        <v>269</v>
      </c>
      <c r="C30" s="51">
        <f>C29*2.4</f>
        <v>36</v>
      </c>
      <c r="D30" s="51">
        <f>D29*2.2</f>
        <v>0</v>
      </c>
      <c r="E30" s="51">
        <f>E29*2</f>
        <v>0</v>
      </c>
      <c r="F30" s="59">
        <f>SUM(C30:E30)</f>
        <v>36</v>
      </c>
      <c r="G30" s="26"/>
      <c r="H30" s="26"/>
      <c r="I30" s="26"/>
      <c r="J30" s="26"/>
      <c r="K30" s="26"/>
      <c r="L30" s="26"/>
      <c r="M30" s="26"/>
      <c r="N30" s="26"/>
      <c r="O30" s="26" t="s">
        <v>299</v>
      </c>
      <c r="P30" s="26">
        <f>IF($C$21=$S$723,15%,15%*0.8)</f>
        <v>0.15</v>
      </c>
      <c r="Q30" s="26" t="e">
        <f>ROUND(Q29,2)</f>
        <v>#N/A</v>
      </c>
      <c r="R30" s="26" t="s">
        <v>313</v>
      </c>
      <c r="S30" s="26">
        <f>C135</f>
        <v>0</v>
      </c>
      <c r="T30" s="26" t="e">
        <f>U33+W33</f>
        <v>#REF!</v>
      </c>
      <c r="U30" s="26" t="s">
        <v>30</v>
      </c>
      <c r="V30" s="26"/>
      <c r="W30" s="26"/>
      <c r="X30" s="26"/>
      <c r="Y30" s="26"/>
      <c r="Z30" s="26"/>
      <c r="AA30" s="26"/>
      <c r="AB30" s="26"/>
      <c r="AC30" s="26"/>
      <c r="AD30" s="26"/>
      <c r="AE30" s="26"/>
      <c r="AF30" s="26"/>
      <c r="AG30" s="26" t="s">
        <v>314</v>
      </c>
      <c r="AH30" s="26"/>
      <c r="AI30" s="26"/>
      <c r="AJ30" s="26" t="e">
        <f>(100-AJ28)/100</f>
        <v>#REF!</v>
      </c>
      <c r="AK30" s="26"/>
      <c r="AL30" s="26"/>
      <c r="AM30" s="26">
        <v>40237</v>
      </c>
      <c r="AN30" s="26"/>
      <c r="AO30" s="26" t="s">
        <v>315</v>
      </c>
      <c r="AP30" s="26"/>
      <c r="AQ30" s="26"/>
      <c r="AR30" s="26"/>
      <c r="AS30" s="26" t="s">
        <v>316</v>
      </c>
      <c r="AT30" s="26" t="s">
        <v>317</v>
      </c>
      <c r="AU30" s="26"/>
      <c r="AV30" s="26"/>
      <c r="AW30" s="26"/>
      <c r="AX30" s="26"/>
      <c r="AY30" s="26" t="s">
        <v>59</v>
      </c>
      <c r="AZ30" s="26"/>
      <c r="BA30" s="26" t="s">
        <v>59</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318</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259</v>
      </c>
      <c r="DI30" s="26"/>
      <c r="DJ30" s="26"/>
      <c r="DK30" s="26"/>
      <c r="DL30" s="26" t="s">
        <v>268</v>
      </c>
      <c r="DM30" s="26"/>
      <c r="DN30" s="26"/>
      <c r="DO30" s="26"/>
      <c r="DP30" s="26"/>
      <c r="DQ30" s="26"/>
      <c r="DR30" s="26"/>
      <c r="DS30" s="26"/>
      <c r="DT30" s="26"/>
    </row>
    <row r="31" spans="2:124" ht="18.75" customHeight="1" x14ac:dyDescent="0.3">
      <c r="B31" s="60" t="s">
        <v>319</v>
      </c>
      <c r="E31" s="35">
        <v>0</v>
      </c>
      <c r="F31" s="61">
        <f>F30*0.05*E31</f>
        <v>0</v>
      </c>
      <c r="G31" s="26"/>
      <c r="H31" s="26"/>
      <c r="I31" s="26"/>
      <c r="J31" s="26"/>
      <c r="K31" s="26" t="s">
        <v>301</v>
      </c>
      <c r="L31" s="26"/>
      <c r="M31" s="26"/>
      <c r="N31" s="26"/>
      <c r="O31" s="26" t="s">
        <v>311</v>
      </c>
      <c r="P31" s="26">
        <f>(P28+P29)*(1+P30)</f>
        <v>0</v>
      </c>
      <c r="Q31" s="26"/>
      <c r="R31" s="26"/>
      <c r="S31" s="26"/>
      <c r="T31" s="26"/>
      <c r="U31" s="26"/>
      <c r="V31" s="26"/>
      <c r="W31" s="26"/>
      <c r="X31" s="26"/>
      <c r="Y31" s="26"/>
      <c r="Z31" s="26"/>
      <c r="AA31" s="26" t="s">
        <v>321</v>
      </c>
      <c r="AB31" s="26"/>
      <c r="AC31" s="26"/>
      <c r="AD31" s="26"/>
      <c r="AE31" s="26" t="s">
        <v>322</v>
      </c>
      <c r="AF31" s="26"/>
      <c r="AG31" s="26" t="s">
        <v>323</v>
      </c>
      <c r="AH31" s="26"/>
      <c r="AI31" s="26"/>
      <c r="AJ31" s="26"/>
      <c r="AK31" s="26"/>
      <c r="AL31" s="26"/>
      <c r="AM31" s="26">
        <v>40268</v>
      </c>
      <c r="AN31" s="26"/>
      <c r="AO31" s="26">
        <f>DATE(YEAR(J4),MONTH(J4)-MONTH(J4)+1,DAY(J4)-DAY(J4)+1)</f>
        <v>1</v>
      </c>
      <c r="AP31" s="26">
        <f>ROUND((AO31-AQ22)/365.25,2)</f>
        <v>-78.67</v>
      </c>
      <c r="AQ31" s="26"/>
      <c r="AR31" s="26"/>
      <c r="AS31" s="26">
        <v>16</v>
      </c>
      <c r="AT31" s="26">
        <v>37</v>
      </c>
      <c r="AU31" s="26" t="s">
        <v>59</v>
      </c>
      <c r="AV31" s="26"/>
      <c r="AW31" s="26"/>
      <c r="AX31" s="26"/>
      <c r="AY31" s="26"/>
      <c r="AZ31" s="26"/>
      <c r="BA31" s="26">
        <f>IF(24.75-BG61-BG62&lt;=0,0,IF((24.75-BG61-BG62)&gt;#REF!,#REF!*#REF!*0.6,(24.75-BG61-BG62)*#REF!*0.6))</f>
        <v>0</v>
      </c>
      <c r="BB31" s="26"/>
      <c r="BC31" s="26"/>
      <c r="BD31" s="26"/>
      <c r="BE31" s="26"/>
      <c r="BF31" s="26"/>
      <c r="BG31" s="26" t="s">
        <v>324</v>
      </c>
      <c r="BH31" s="26"/>
      <c r="BI31" s="26"/>
      <c r="BJ31" s="26">
        <f>IF(MONTH(AK25)&gt;9,0,MONTH(AK25)-1+DAY(AK25)/30)</f>
        <v>1.0333333333333334</v>
      </c>
      <c r="BK31" s="26"/>
      <c r="BL31" s="26" t="s">
        <v>325</v>
      </c>
      <c r="BM31" s="26" t="e">
        <f>IF(BM30=0,0,(BM30-(BG76*BM32)*12)-BP31)</f>
        <v>#REF!</v>
      </c>
      <c r="BN31" s="26" t="s">
        <v>326</v>
      </c>
      <c r="BO31" s="26" t="s">
        <v>327</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268</v>
      </c>
      <c r="DM31" s="26"/>
      <c r="DN31" s="26"/>
      <c r="DO31" s="26"/>
      <c r="DP31" s="26"/>
      <c r="DQ31" s="26"/>
      <c r="DR31" s="26"/>
      <c r="DS31" s="26"/>
      <c r="DT31" s="26"/>
    </row>
    <row r="32" spans="2:124" ht="17.25" customHeight="1" x14ac:dyDescent="0.3">
      <c r="B32" s="60" t="s">
        <v>328</v>
      </c>
      <c r="E32" s="35">
        <v>0</v>
      </c>
      <c r="F32" s="61">
        <f>F30*0.05*E32</f>
        <v>0</v>
      </c>
      <c r="G32" s="26"/>
      <c r="H32" s="26"/>
      <c r="I32" s="26"/>
      <c r="J32" s="26"/>
      <c r="K32" s="26" t="s">
        <v>330</v>
      </c>
      <c r="L32" s="26"/>
      <c r="M32" s="26"/>
      <c r="N32" s="26"/>
      <c r="O32" s="26" t="s">
        <v>62</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59</v>
      </c>
      <c r="AA32" s="26" t="s">
        <v>332</v>
      </c>
      <c r="AB32" s="26" t="s">
        <v>252</v>
      </c>
      <c r="AC32" s="26"/>
      <c r="AD32" s="26"/>
      <c r="AE32" s="26" t="e">
        <f>#REF!</f>
        <v>#REF!</v>
      </c>
      <c r="AF32" s="26"/>
      <c r="AG32" s="26">
        <f>BG76*'[1]נתוני מס'!I14</f>
        <v>574.75</v>
      </c>
      <c r="AH32" s="26"/>
      <c r="AI32" s="26"/>
      <c r="AJ32" s="26"/>
      <c r="AK32" s="26"/>
      <c r="AL32" s="26"/>
      <c r="AM32" s="26">
        <v>40298</v>
      </c>
      <c r="AN32" s="26"/>
      <c r="AO32" s="26"/>
      <c r="AP32" s="26"/>
      <c r="AQ32" s="26"/>
      <c r="AR32" s="26"/>
      <c r="AS32" s="26" t="s">
        <v>333</v>
      </c>
      <c r="AT32" s="26" t="s">
        <v>334</v>
      </c>
      <c r="AU32" s="26"/>
      <c r="AV32" s="26"/>
      <c r="AW32" s="26"/>
      <c r="AX32" s="26" t="s">
        <v>335</v>
      </c>
      <c r="AY32" s="26">
        <f>ROUND(H154,0)</f>
        <v>113</v>
      </c>
      <c r="AZ32" s="26"/>
      <c r="BA32" s="26" t="e">
        <f>IF(H159&lt;70%,IF(#REF!* 2% &gt;70%-H159,70%-H159,#REF!*2%),IF(H157+H158-H159&lt;=0,0,H157+H158-H159))</f>
        <v>#REF!</v>
      </c>
      <c r="BB32" s="26"/>
      <c r="BC32" s="26"/>
      <c r="BD32" s="26"/>
      <c r="BE32" s="26"/>
      <c r="BF32" s="26"/>
      <c r="BG32" s="26" t="s">
        <v>336</v>
      </c>
      <c r="BH32" s="26"/>
      <c r="BI32" s="26"/>
      <c r="BJ32" s="26">
        <f>MONTH(AK25)-1+DAY(AK25)/30</f>
        <v>1.0333333333333334</v>
      </c>
      <c r="BK32" s="26"/>
      <c r="BL32" s="26" t="s">
        <v>337</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268</v>
      </c>
      <c r="DM32" s="26"/>
      <c r="DN32" s="26"/>
      <c r="DO32" s="26"/>
      <c r="DP32" s="26"/>
      <c r="DQ32" s="26"/>
      <c r="DR32" s="26"/>
      <c r="DS32" s="26"/>
      <c r="DT32" s="26"/>
    </row>
    <row r="33" spans="2:124" ht="21" customHeight="1" x14ac:dyDescent="0.3">
      <c r="B33" s="60"/>
      <c r="C33" s="60"/>
      <c r="D33" s="206" t="s">
        <v>149</v>
      </c>
      <c r="E33" s="207"/>
      <c r="F33" s="59">
        <f>SUM(F30:F32)</f>
        <v>36</v>
      </c>
      <c r="G33" s="26"/>
      <c r="H33" s="26"/>
      <c r="I33" s="26"/>
      <c r="J33" s="26"/>
      <c r="K33" s="26"/>
      <c r="L33" s="26"/>
      <c r="M33" s="26"/>
      <c r="N33" s="26"/>
      <c r="O33" s="26" t="s">
        <v>329</v>
      </c>
      <c r="P33" s="26" t="e">
        <f>VLOOKUP(P32,טור12,2,1)</f>
        <v>#N/A</v>
      </c>
      <c r="Q33" s="26"/>
      <c r="R33" s="26"/>
      <c r="S33" s="26"/>
      <c r="T33" s="26" t="e">
        <f>IF(#REF!="כן",10%,0)</f>
        <v>#REF!</v>
      </c>
      <c r="U33" s="26">
        <f>(C135/24)</f>
        <v>0</v>
      </c>
      <c r="V33" s="26">
        <f>U33/(U32+U33)</f>
        <v>0</v>
      </c>
      <c r="W33" s="26" t="e">
        <f>T33*V33</f>
        <v>#REF!</v>
      </c>
      <c r="X33" s="26"/>
      <c r="Y33" s="26"/>
      <c r="Z33" s="26"/>
      <c r="AA33" s="26" t="s">
        <v>339</v>
      </c>
      <c r="AB33" s="26" t="s">
        <v>130</v>
      </c>
      <c r="AC33" s="26"/>
      <c r="AD33" s="26"/>
      <c r="AE33" s="26" t="s">
        <v>59</v>
      </c>
      <c r="AF33" s="26"/>
      <c r="AG33" s="26"/>
      <c r="AH33" s="26"/>
      <c r="AI33" s="26" t="s">
        <v>340</v>
      </c>
      <c r="AJ33" s="26" t="e">
        <f>Q26*0.36</f>
        <v>#REF!</v>
      </c>
      <c r="AK33" s="26"/>
      <c r="AL33" s="26"/>
      <c r="AM33" s="26">
        <v>40329</v>
      </c>
      <c r="AN33" s="26"/>
      <c r="AO33" s="26" t="s">
        <v>341</v>
      </c>
      <c r="AP33" s="26" t="s">
        <v>342</v>
      </c>
      <c r="AQ33" s="26"/>
      <c r="AR33" s="26"/>
      <c r="AS33" s="26">
        <v>17</v>
      </c>
      <c r="AT33" s="26">
        <v>38</v>
      </c>
      <c r="AU33" s="26"/>
      <c r="AV33" s="26"/>
      <c r="AW33" s="26"/>
      <c r="AX33" s="26" t="s">
        <v>343</v>
      </c>
      <c r="AY33" s="26" t="s">
        <v>59</v>
      </c>
      <c r="AZ33" s="26"/>
      <c r="BA33" s="26"/>
      <c r="BB33" s="26"/>
      <c r="BC33" s="26"/>
      <c r="BD33" s="26"/>
      <c r="BE33" s="26"/>
      <c r="BF33" s="26"/>
      <c r="BG33" s="26"/>
      <c r="BH33" s="26"/>
      <c r="BI33" s="26"/>
      <c r="BJ33" s="26"/>
      <c r="BK33" s="26"/>
      <c r="BL33" s="26" t="s">
        <v>344</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59</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345</v>
      </c>
      <c r="DM33" s="26"/>
      <c r="DN33" s="26"/>
      <c r="DO33" s="26"/>
      <c r="DP33" s="26"/>
      <c r="DQ33" s="26"/>
      <c r="DR33" s="26"/>
      <c r="DS33" s="26"/>
      <c r="DT33" s="26"/>
    </row>
    <row r="34" spans="2:124" ht="17.25" customHeight="1" x14ac:dyDescent="0.3">
      <c r="B34" s="52" t="s">
        <v>250</v>
      </c>
      <c r="C34" s="39">
        <v>0</v>
      </c>
      <c r="D34" s="26"/>
      <c r="E34" s="26"/>
      <c r="F34" s="26"/>
      <c r="G34" s="26"/>
      <c r="H34" s="26" t="s">
        <v>346</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348</v>
      </c>
      <c r="AT34" s="26" t="s">
        <v>349</v>
      </c>
      <c r="AU34" s="26"/>
      <c r="AV34" s="26"/>
      <c r="AW34" s="26"/>
      <c r="AX34" s="26" t="s">
        <v>350</v>
      </c>
      <c r="AY34" s="26">
        <f>(AY36*2)/100</f>
        <v>0.18833333333333332</v>
      </c>
      <c r="AZ34" s="26"/>
      <c r="BA34" s="26"/>
      <c r="BB34" s="26"/>
      <c r="BC34" s="26"/>
      <c r="BD34" s="26"/>
      <c r="BE34" s="26"/>
      <c r="BF34" s="26"/>
      <c r="BG34" s="26"/>
      <c r="BH34" s="26"/>
      <c r="BI34" s="26"/>
      <c r="BJ34" s="26"/>
      <c r="BK34" s="26" t="s">
        <v>59</v>
      </c>
      <c r="BL34" s="26" t="s">
        <v>351</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345</v>
      </c>
      <c r="DM34" s="26"/>
      <c r="DN34" s="26"/>
      <c r="DO34" s="26"/>
      <c r="DP34" s="26"/>
      <c r="DQ34" s="26"/>
      <c r="DR34" s="26"/>
      <c r="DS34" s="26"/>
      <c r="DT34" s="26"/>
    </row>
    <row r="35" spans="2:124" ht="12.75" customHeight="1" x14ac:dyDescent="0.3">
      <c r="B35" s="206"/>
      <c r="C35" s="207"/>
      <c r="D35" s="26"/>
      <c r="E35" s="26"/>
      <c r="F35" s="26"/>
      <c r="G35" s="26"/>
      <c r="H35" s="26">
        <f>IF(C14&gt;1%,"3%",0)</f>
        <v>0</v>
      </c>
      <c r="I35" s="26">
        <f>IF(C14&gt;1%,3,0)</f>
        <v>0</v>
      </c>
      <c r="J35" s="26" t="s">
        <v>352</v>
      </c>
      <c r="K35" s="26"/>
      <c r="L35" s="26"/>
      <c r="M35" s="26"/>
      <c r="N35" s="26"/>
      <c r="O35" s="26"/>
      <c r="P35" s="26"/>
      <c r="Q35" s="26"/>
      <c r="R35" s="26"/>
      <c r="S35" s="26"/>
      <c r="T35" s="26"/>
      <c r="U35" s="26"/>
      <c r="V35" s="26"/>
      <c r="W35" s="26"/>
      <c r="X35" s="26"/>
      <c r="Y35" s="26" t="s">
        <v>353</v>
      </c>
      <c r="Z35" s="26"/>
      <c r="AA35" s="26">
        <v>0</v>
      </c>
      <c r="AB35" s="26" t="s">
        <v>354</v>
      </c>
      <c r="AC35" s="26"/>
      <c r="AD35" s="26"/>
      <c r="AE35" s="26"/>
      <c r="AF35" s="26" t="s">
        <v>8</v>
      </c>
      <c r="AG35" s="26" t="s">
        <v>355</v>
      </c>
      <c r="AH35" s="26" t="s">
        <v>356</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345</v>
      </c>
      <c r="DM35" s="26"/>
      <c r="DN35" s="26"/>
      <c r="DO35" s="26"/>
      <c r="DP35" s="26"/>
      <c r="DQ35" s="26"/>
      <c r="DR35" s="26"/>
      <c r="DS35" s="26"/>
      <c r="DT35" s="26"/>
    </row>
    <row r="36" spans="2:124" ht="17.25" customHeight="1" x14ac:dyDescent="0.3">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357</v>
      </c>
      <c r="Z36" s="26"/>
      <c r="AA36" s="26" t="s">
        <v>358</v>
      </c>
      <c r="AB36" s="26" t="s">
        <v>359</v>
      </c>
      <c r="AC36" s="26"/>
      <c r="AD36" s="26"/>
      <c r="AE36" s="26"/>
      <c r="AF36" s="26" t="s">
        <v>71</v>
      </c>
      <c r="AG36" s="26">
        <f>IF(BC24&lt;AF29,BC24-INT(BC24),0)</f>
        <v>0</v>
      </c>
      <c r="AH36" s="26" t="s">
        <v>360</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361</v>
      </c>
      <c r="AT36" s="26" t="s">
        <v>362</v>
      </c>
      <c r="AU36" s="26"/>
      <c r="AV36" s="26"/>
      <c r="AW36" s="26"/>
      <c r="AX36" s="26" t="s">
        <v>363</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345</v>
      </c>
      <c r="DM36" s="26"/>
      <c r="DN36" s="26"/>
      <c r="DO36" s="26"/>
      <c r="DP36" s="26"/>
      <c r="DQ36" s="26"/>
      <c r="DR36" s="26"/>
      <c r="DS36" s="26"/>
      <c r="DT36" s="26"/>
    </row>
    <row r="37" spans="2:124" ht="17.25" customHeight="1" x14ac:dyDescent="0.3">
      <c r="B37" s="26" t="s">
        <v>364</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304</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365</v>
      </c>
      <c r="BB37" s="26" t="s">
        <v>366</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345</v>
      </c>
      <c r="DM37" s="26"/>
      <c r="DN37" s="26"/>
      <c r="DO37" s="26"/>
      <c r="DP37" s="26"/>
      <c r="DQ37" s="26"/>
      <c r="DR37" s="26"/>
      <c r="DS37" s="26"/>
      <c r="DT37" s="26"/>
    </row>
    <row r="38" spans="2:124" ht="7.5" customHeight="1" x14ac:dyDescent="0.3">
      <c r="B38" s="26" t="s">
        <v>367</v>
      </c>
      <c r="C38" s="26" t="s">
        <v>29</v>
      </c>
      <c r="D38" s="26" t="s">
        <v>368</v>
      </c>
      <c r="E38" s="26"/>
      <c r="F38" s="26"/>
      <c r="G38" s="26"/>
      <c r="H38" s="26"/>
      <c r="I38" s="26"/>
      <c r="J38" s="26" t="s">
        <v>59</v>
      </c>
      <c r="K38" s="26" t="s">
        <v>369</v>
      </c>
      <c r="L38" s="26"/>
      <c r="M38" s="26"/>
      <c r="N38" s="26"/>
      <c r="O38" s="26"/>
      <c r="P38" s="26"/>
      <c r="Q38" s="26"/>
      <c r="R38" s="26"/>
      <c r="S38" s="26"/>
      <c r="T38" s="26"/>
      <c r="U38" s="26"/>
      <c r="V38" s="26"/>
      <c r="W38" s="26"/>
      <c r="X38" s="26"/>
      <c r="Y38" s="26"/>
      <c r="Z38" s="26"/>
      <c r="AA38" s="26"/>
      <c r="AB38" s="26"/>
      <c r="AC38" s="26"/>
      <c r="AD38" s="26"/>
      <c r="AE38" s="26" t="e">
        <f>35%*AE39</f>
        <v>#REF!</v>
      </c>
      <c r="AF38" s="26" t="s">
        <v>370</v>
      </c>
      <c r="AG38" s="26">
        <f>YEAR(AK25)-YEAR(J4)</f>
        <v>111</v>
      </c>
      <c r="AH38" s="26"/>
      <c r="AI38" s="26"/>
      <c r="AJ38" s="26"/>
      <c r="AK38" s="26"/>
      <c r="AL38" s="26"/>
      <c r="AM38" s="26">
        <v>40482</v>
      </c>
      <c r="AN38" s="26"/>
      <c r="AO38" s="26"/>
      <c r="AP38" s="26"/>
      <c r="AQ38" s="26"/>
      <c r="AR38" s="26"/>
      <c r="AS38" s="26" t="s">
        <v>371</v>
      </c>
      <c r="AT38" s="26" t="s">
        <v>372</v>
      </c>
      <c r="AU38" s="26"/>
      <c r="AV38" s="26"/>
      <c r="AW38" s="26"/>
      <c r="AX38" s="26"/>
      <c r="AY38" s="26" t="s">
        <v>373</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59</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345</v>
      </c>
      <c r="DM38" s="26"/>
      <c r="DN38" s="26"/>
      <c r="DO38" s="26"/>
      <c r="DP38" s="26"/>
      <c r="DQ38" s="26"/>
      <c r="DR38" s="26"/>
      <c r="DS38" s="26"/>
      <c r="DT38" s="26"/>
    </row>
    <row r="39" spans="2:124" ht="11.25" customHeight="1" x14ac:dyDescent="0.3">
      <c r="B39" s="26" t="s">
        <v>374</v>
      </c>
      <c r="C39" s="26">
        <f>IF($C$38="א-ו",J111,IF($C$38="ז-ח",J112,IF($C$38="חטיבת ביניים",J112-2.5%,#REF!)))</f>
        <v>0</v>
      </c>
      <c r="D39" s="26" t="s">
        <v>375</v>
      </c>
      <c r="E39" s="26"/>
      <c r="F39" s="26"/>
      <c r="G39" s="26"/>
      <c r="H39" s="26"/>
      <c r="I39" s="26">
        <v>3</v>
      </c>
      <c r="J39" s="26">
        <f>IF(C21=S723,1*L853,IF(C21=S724,0.75*L853,IF(C21=S725,0.6836*L853,0.5948*L853)))</f>
        <v>1</v>
      </c>
      <c r="K39" s="26"/>
      <c r="L39" s="26" t="s">
        <v>291</v>
      </c>
      <c r="M39" s="26" t="s">
        <v>182</v>
      </c>
      <c r="N39" s="26"/>
      <c r="O39" s="26" t="e">
        <f>IF(#REF!="כן",10%,0)</f>
        <v>#REF!</v>
      </c>
      <c r="P39" s="26" t="e">
        <f>(#REF!/24)</f>
        <v>#REF!</v>
      </c>
      <c r="Q39" s="26" t="e">
        <f>P39/(P40+P39)</f>
        <v>#REF!</v>
      </c>
      <c r="R39" s="26" t="e">
        <f>O39*Q39</f>
        <v>#REF!</v>
      </c>
      <c r="S39" s="26"/>
      <c r="T39" s="26"/>
      <c r="U39" s="26"/>
      <c r="V39" s="26"/>
      <c r="W39" s="26"/>
      <c r="X39" s="26"/>
      <c r="Y39" s="26"/>
      <c r="Z39" s="26"/>
      <c r="AA39" s="26" t="s">
        <v>376</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377</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378</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345</v>
      </c>
      <c r="DM39" s="26"/>
      <c r="DN39" s="26"/>
      <c r="DO39" s="26"/>
      <c r="DP39" s="26"/>
      <c r="DQ39" s="26"/>
      <c r="DR39" s="26"/>
      <c r="DS39" s="26"/>
      <c r="DT39" s="26"/>
    </row>
    <row r="40" spans="2:124" ht="11.25" customHeight="1" x14ac:dyDescent="0.3">
      <c r="B40" s="26"/>
      <c r="C40" s="26"/>
      <c r="D40" s="26"/>
      <c r="E40" s="26"/>
      <c r="F40" s="26"/>
      <c r="G40" s="26"/>
      <c r="H40" s="26"/>
      <c r="I40" s="26">
        <f t="shared" ref="I40:I45" si="2">I39+1</f>
        <v>4</v>
      </c>
      <c r="J40" s="26">
        <v>0</v>
      </c>
      <c r="K40" s="26"/>
      <c r="L40" s="26" t="s">
        <v>300</v>
      </c>
      <c r="M40" s="26" t="s">
        <v>288</v>
      </c>
      <c r="N40" s="26" t="s">
        <v>289</v>
      </c>
      <c r="O40" s="26"/>
      <c r="P40" s="26" t="e">
        <f>#REF!/30</f>
        <v>#REF!</v>
      </c>
      <c r="Q40" s="26" t="e">
        <f>P40/(P39+P40)</f>
        <v>#REF!</v>
      </c>
      <c r="R40" s="26" t="e">
        <f>Q40*O39</f>
        <v>#REF!</v>
      </c>
      <c r="S40" s="26"/>
      <c r="T40" s="26"/>
      <c r="U40" s="26"/>
      <c r="V40" s="26"/>
      <c r="W40" s="26"/>
      <c r="X40" s="26"/>
      <c r="Y40" s="26"/>
      <c r="Z40" s="26"/>
      <c r="AA40" s="26" t="s">
        <v>379</v>
      </c>
      <c r="AB40" s="26">
        <v>0</v>
      </c>
      <c r="AC40" s="26"/>
      <c r="AD40" s="26"/>
      <c r="AE40" s="26"/>
      <c r="AF40" s="26"/>
      <c r="AG40" s="26"/>
      <c r="AH40" s="26" t="s">
        <v>360</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380</v>
      </c>
      <c r="AT40" s="26" t="s">
        <v>381</v>
      </c>
      <c r="AU40" s="26"/>
      <c r="AV40" s="26"/>
      <c r="AW40" s="26"/>
      <c r="AX40" s="26"/>
      <c r="AY40" s="26"/>
      <c r="AZ40" s="26"/>
      <c r="BA40" s="26"/>
      <c r="BB40" s="26"/>
      <c r="BC40" s="26"/>
      <c r="BD40" s="26"/>
      <c r="BE40" s="26"/>
      <c r="BF40" s="26"/>
      <c r="BG40" s="26"/>
      <c r="BH40" s="26"/>
      <c r="BI40" s="26"/>
      <c r="BJ40" s="26" t="s">
        <v>59</v>
      </c>
      <c r="BK40" s="26" t="s">
        <v>382</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345</v>
      </c>
      <c r="DM40" s="26"/>
      <c r="DN40" s="26"/>
      <c r="DO40" s="26"/>
      <c r="DP40" s="26"/>
      <c r="DQ40" s="26"/>
      <c r="DR40" s="26"/>
      <c r="DS40" s="26"/>
      <c r="DT40" s="26"/>
    </row>
    <row r="41" spans="2:124" ht="11.25" customHeight="1" x14ac:dyDescent="0.3">
      <c r="B41" s="26"/>
      <c r="C41" s="26"/>
      <c r="D41" s="26"/>
      <c r="E41" s="26"/>
      <c r="F41" s="26"/>
      <c r="G41" s="26"/>
      <c r="H41" s="26"/>
      <c r="I41" s="26">
        <f t="shared" si="2"/>
        <v>5</v>
      </c>
      <c r="J41" s="26" t="s">
        <v>59</v>
      </c>
      <c r="K41" s="26"/>
      <c r="L41" s="26" t="s">
        <v>312</v>
      </c>
      <c r="M41" s="26">
        <v>2</v>
      </c>
      <c r="N41" s="26">
        <v>3</v>
      </c>
      <c r="O41" s="26"/>
      <c r="P41" s="26"/>
      <c r="Q41" s="26"/>
      <c r="R41" s="26"/>
      <c r="S41" s="26"/>
      <c r="T41" s="26"/>
      <c r="U41" s="26"/>
      <c r="V41" s="26"/>
      <c r="W41" s="26"/>
      <c r="X41" s="26"/>
      <c r="Y41" s="26"/>
      <c r="Z41" s="26"/>
      <c r="AA41" s="26"/>
      <c r="AB41" s="26"/>
      <c r="AC41" s="26"/>
      <c r="AD41" s="26"/>
      <c r="AE41" s="26" t="s">
        <v>383</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384</v>
      </c>
      <c r="AZ41" s="26" t="s">
        <v>385</v>
      </c>
      <c r="BA41" s="26"/>
      <c r="BB41" s="26"/>
      <c r="BC41" s="26"/>
      <c r="BD41" s="26"/>
      <c r="BE41" s="26"/>
      <c r="BF41" s="26"/>
      <c r="BG41" s="26"/>
      <c r="BH41" s="26"/>
      <c r="BI41" s="26"/>
      <c r="BJ41" s="26"/>
      <c r="BK41" s="26" t="s">
        <v>386</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345</v>
      </c>
      <c r="DM41" s="26"/>
      <c r="DN41" s="26"/>
      <c r="DO41" s="26"/>
      <c r="DP41" s="26"/>
      <c r="DQ41" s="26"/>
      <c r="DR41" s="26"/>
      <c r="DS41" s="26"/>
      <c r="DT41" s="26"/>
    </row>
    <row r="42" spans="2:124" ht="11.25" customHeight="1" x14ac:dyDescent="0.3">
      <c r="B42" s="26"/>
      <c r="C42" s="26"/>
      <c r="D42" s="26"/>
      <c r="E42" s="26"/>
      <c r="F42" s="26"/>
      <c r="G42" s="26"/>
      <c r="H42" s="26"/>
      <c r="I42" s="26">
        <f t="shared" si="2"/>
        <v>6</v>
      </c>
      <c r="J42" s="26" t="s">
        <v>59</v>
      </c>
      <c r="K42" s="26"/>
      <c r="L42" s="26" t="s">
        <v>320</v>
      </c>
      <c r="M42" s="26">
        <f>M41*2.2</f>
        <v>4.4000000000000004</v>
      </c>
      <c r="N42" s="26">
        <f>N41*2</f>
        <v>6</v>
      </c>
      <c r="O42" s="26"/>
      <c r="P42" s="26"/>
      <c r="Q42" s="26"/>
      <c r="R42" s="26"/>
      <c r="S42" s="26"/>
      <c r="T42" s="26"/>
      <c r="U42" s="26"/>
      <c r="V42" s="26"/>
      <c r="W42" s="26"/>
      <c r="X42" s="26"/>
      <c r="Y42" s="26"/>
      <c r="Z42" s="26"/>
      <c r="AA42" s="26" t="s">
        <v>257</v>
      </c>
      <c r="AB42" s="26">
        <f>BG61</f>
        <v>33</v>
      </c>
      <c r="AC42" s="26"/>
      <c r="AD42" s="26"/>
      <c r="AE42" s="26" t="s">
        <v>387</v>
      </c>
      <c r="AF42" s="26" t="e">
        <f>#REF!*AF41</f>
        <v>#REF!</v>
      </c>
      <c r="AG42" s="26"/>
      <c r="AH42" s="26"/>
      <c r="AI42" s="26"/>
      <c r="AJ42" s="26"/>
      <c r="AK42" s="26"/>
      <c r="AL42" s="26"/>
      <c r="AM42" s="26"/>
      <c r="AN42" s="26"/>
      <c r="AO42" s="26">
        <f>ROUND((AK25-AO41)/365.25,2)</f>
        <v>0.08</v>
      </c>
      <c r="AP42" s="26"/>
      <c r="AQ42" s="26"/>
      <c r="AR42" s="26"/>
      <c r="AS42" s="26" t="s">
        <v>388</v>
      </c>
      <c r="AT42" s="26" t="s">
        <v>389</v>
      </c>
      <c r="AU42" s="26"/>
      <c r="AV42" s="26"/>
      <c r="AW42" s="26"/>
      <c r="AX42" s="26" t="s">
        <v>390</v>
      </c>
      <c r="AY42" s="26"/>
      <c r="AZ42" s="26" t="e">
        <f>#REF!</f>
        <v>#REF!</v>
      </c>
      <c r="BA42" s="26" t="s">
        <v>391</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345</v>
      </c>
      <c r="DM42" s="26"/>
      <c r="DN42" s="26"/>
      <c r="DO42" s="26"/>
      <c r="DP42" s="26"/>
      <c r="DQ42" s="26"/>
      <c r="DR42" s="26"/>
      <c r="DS42" s="26"/>
      <c r="DT42" s="26"/>
    </row>
    <row r="43" spans="2:124" ht="11.25" customHeight="1" x14ac:dyDescent="0.3">
      <c r="B43" s="26"/>
      <c r="C43" s="26"/>
      <c r="D43" s="26"/>
      <c r="E43" s="26"/>
      <c r="F43" s="26"/>
      <c r="G43" s="26"/>
      <c r="H43" s="26"/>
      <c r="I43" s="26">
        <f t="shared" si="2"/>
        <v>7</v>
      </c>
      <c r="J43" s="26" t="s">
        <v>59</v>
      </c>
      <c r="K43" s="26"/>
      <c r="L43" s="26" t="s">
        <v>331</v>
      </c>
      <c r="M43" s="26"/>
      <c r="N43" s="26"/>
      <c r="O43" s="26"/>
      <c r="P43" s="26" t="s">
        <v>59</v>
      </c>
      <c r="Q43" s="26"/>
      <c r="R43" s="26"/>
      <c r="S43" s="26"/>
      <c r="T43" s="26"/>
      <c r="U43" s="26"/>
      <c r="V43" s="26"/>
      <c r="W43" s="26"/>
      <c r="X43" s="26"/>
      <c r="Y43" s="26"/>
      <c r="Z43" s="26"/>
      <c r="AA43" s="26" t="s">
        <v>2</v>
      </c>
      <c r="AB43" s="26">
        <f>IF(W18&gt;36,36,W18)</f>
        <v>22</v>
      </c>
      <c r="AC43" s="26"/>
      <c r="AD43" s="26"/>
      <c r="AE43" s="26" t="s">
        <v>392</v>
      </c>
      <c r="AF43" s="26"/>
      <c r="AG43" s="26"/>
      <c r="AH43" s="26"/>
      <c r="AI43" s="26" t="s">
        <v>393</v>
      </c>
      <c r="AJ43" s="26" t="s">
        <v>394</v>
      </c>
      <c r="AK43" s="26"/>
      <c r="AL43" s="26"/>
      <c r="AM43" s="26"/>
      <c r="AN43" s="26"/>
      <c r="AO43" s="26"/>
      <c r="AP43" s="26"/>
      <c r="AQ43" s="26"/>
      <c r="AR43" s="26"/>
      <c r="AS43" s="26">
        <v>22</v>
      </c>
      <c r="AT43" s="26">
        <v>43</v>
      </c>
      <c r="AU43" s="26"/>
      <c r="AV43" s="26"/>
      <c r="AW43" s="26"/>
      <c r="AX43" s="26" t="s">
        <v>59</v>
      </c>
      <c r="AY43" s="26">
        <v>12</v>
      </c>
      <c r="AZ43" s="26" t="s">
        <v>395</v>
      </c>
      <c r="BA43" s="26" t="e">
        <f>12*AZ42</f>
        <v>#REF!</v>
      </c>
      <c r="BB43" s="26"/>
      <c r="BC43" s="26"/>
      <c r="BD43" s="26"/>
      <c r="BE43" s="26"/>
      <c r="BF43" s="26" t="s">
        <v>59</v>
      </c>
      <c r="BG43" s="26"/>
      <c r="BH43" s="26"/>
      <c r="BI43" s="26"/>
      <c r="BJ43" s="26" t="s">
        <v>396</v>
      </c>
      <c r="BK43" s="26"/>
      <c r="BL43" s="26"/>
      <c r="BM43" s="26"/>
      <c r="BN43" s="26"/>
      <c r="BO43" s="26"/>
      <c r="BP43" s="26"/>
      <c r="BQ43" s="26" t="s">
        <v>397</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398</v>
      </c>
      <c r="CW43" s="26">
        <v>63.5</v>
      </c>
      <c r="CX43" s="26"/>
      <c r="CY43" s="26"/>
      <c r="CZ43" s="26">
        <v>32</v>
      </c>
      <c r="DA43" s="26">
        <v>56.1</v>
      </c>
      <c r="DB43" s="26">
        <v>56.14</v>
      </c>
      <c r="DC43" s="26"/>
      <c r="DD43" s="26"/>
      <c r="DE43" s="26"/>
      <c r="DF43" s="26"/>
      <c r="DG43" s="26"/>
      <c r="DH43" s="26"/>
      <c r="DI43" s="26"/>
      <c r="DJ43" s="26"/>
      <c r="DK43" s="26"/>
      <c r="DL43" s="26" t="s">
        <v>399</v>
      </c>
      <c r="DM43" s="26"/>
      <c r="DN43" s="26"/>
      <c r="DO43" s="26"/>
      <c r="DP43" s="26"/>
      <c r="DQ43" s="26"/>
      <c r="DR43" s="26"/>
      <c r="DS43" s="26"/>
      <c r="DT43" s="26"/>
    </row>
    <row r="44" spans="2:124" ht="11.25" customHeight="1" x14ac:dyDescent="0.3">
      <c r="B44" s="26"/>
      <c r="C44" s="26"/>
      <c r="D44" s="26"/>
      <c r="E44" s="26"/>
      <c r="F44" s="26"/>
      <c r="G44" s="26"/>
      <c r="H44" s="26"/>
      <c r="I44" s="26">
        <f t="shared" si="2"/>
        <v>8</v>
      </c>
      <c r="J44" s="26" t="s">
        <v>59</v>
      </c>
      <c r="K44" s="26"/>
      <c r="L44" s="26" t="s">
        <v>338</v>
      </c>
      <c r="M44" s="26"/>
      <c r="N44" s="26"/>
      <c r="O44" s="26" t="s">
        <v>278</v>
      </c>
      <c r="P44" s="26" t="e">
        <f t="shared" ref="P44:P61" si="3">HLOOKUP($C$5,$G$115:$L$132,ROW()-43,0)</f>
        <v>#N/A</v>
      </c>
      <c r="Q44" s="26"/>
      <c r="R44" s="26" t="s">
        <v>278</v>
      </c>
      <c r="S44" s="26"/>
      <c r="T44" s="26"/>
      <c r="U44" s="26"/>
      <c r="V44" s="26"/>
      <c r="W44" s="26"/>
      <c r="X44" s="26"/>
      <c r="Y44" s="26"/>
      <c r="Z44" s="26"/>
      <c r="AA44" s="26" t="s">
        <v>400</v>
      </c>
      <c r="AB44" s="26">
        <v>1</v>
      </c>
      <c r="AC44" s="26"/>
      <c r="AD44" s="26"/>
      <c r="AE44" s="26" t="e">
        <f>IF(#REF!&gt;0,#REF!/'[1]נתוני מס'!N16,0)</f>
        <v>#REF!</v>
      </c>
      <c r="AF44" s="26" t="s">
        <v>401</v>
      </c>
      <c r="AG44" s="26" t="s">
        <v>402</v>
      </c>
      <c r="AH44" s="26" t="s">
        <v>198</v>
      </c>
      <c r="AI44" s="26"/>
      <c r="AJ44" s="26">
        <f>C151</f>
        <v>174.47</v>
      </c>
      <c r="AK44" s="26"/>
      <c r="AL44" s="26"/>
      <c r="AM44" s="26"/>
      <c r="AN44" s="26"/>
      <c r="AO44" s="26"/>
      <c r="AP44" s="26"/>
      <c r="AQ44" s="26"/>
      <c r="AR44" s="26"/>
      <c r="AS44" s="26" t="s">
        <v>403</v>
      </c>
      <c r="AT44" s="26" t="s">
        <v>404</v>
      </c>
      <c r="AU44" s="26"/>
      <c r="AV44" s="26"/>
      <c r="AW44" s="26"/>
      <c r="AX44" s="26" t="s">
        <v>405</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406</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3">
      <c r="B45" s="26"/>
      <c r="C45" s="26"/>
      <c r="D45" s="26"/>
      <c r="E45" s="26"/>
      <c r="F45" s="26"/>
      <c r="G45" s="26"/>
      <c r="H45" s="26"/>
      <c r="I45" s="26">
        <f t="shared" si="2"/>
        <v>9</v>
      </c>
      <c r="J45" s="26" t="s">
        <v>59</v>
      </c>
      <c r="K45" s="26"/>
      <c r="L45" s="26" t="s">
        <v>347</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407</v>
      </c>
      <c r="AG45" s="26" t="s">
        <v>408</v>
      </c>
      <c r="AH45" s="26" t="s">
        <v>71</v>
      </c>
      <c r="AI45" s="26"/>
      <c r="AJ45" s="26"/>
      <c r="AK45" s="26" t="s">
        <v>409</v>
      </c>
      <c r="AL45" s="26">
        <f>IF(AB17=AH44,0.01%,0)</f>
        <v>0</v>
      </c>
      <c r="AM45" s="26"/>
      <c r="AN45" s="26"/>
      <c r="AO45" s="26" t="s">
        <v>351</v>
      </c>
      <c r="AP45" s="26"/>
      <c r="AQ45" s="26"/>
      <c r="AR45" s="26"/>
      <c r="AS45" s="26">
        <v>23</v>
      </c>
      <c r="AT45" s="26">
        <v>44</v>
      </c>
      <c r="AU45" s="26"/>
      <c r="AV45" s="26"/>
      <c r="AW45" s="26"/>
      <c r="AX45" s="26"/>
      <c r="AY45" s="26"/>
      <c r="AZ45" s="26" t="s">
        <v>410</v>
      </c>
      <c r="BA45" s="26" t="e">
        <f>BF48</f>
        <v>#REF!</v>
      </c>
      <c r="BB45" s="26"/>
      <c r="BC45" s="26" t="s">
        <v>411</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3">
      <c r="B46" s="26"/>
      <c r="C46" s="26"/>
      <c r="D46" s="26"/>
      <c r="E46" s="26"/>
      <c r="F46" s="26"/>
      <c r="G46" s="26"/>
      <c r="H46" s="26"/>
      <c r="I46" s="26"/>
      <c r="J46" s="26" t="s">
        <v>328</v>
      </c>
      <c r="K46" s="26" t="e">
        <f>#REF!*0.05*L46</f>
        <v>#REF!</v>
      </c>
      <c r="L46" s="26">
        <v>0</v>
      </c>
      <c r="M46" s="26"/>
      <c r="N46" s="26"/>
      <c r="O46" s="26">
        <v>1.5</v>
      </c>
      <c r="P46" s="26" t="e">
        <f t="shared" si="3"/>
        <v>#N/A</v>
      </c>
      <c r="Q46" s="26"/>
      <c r="R46" s="26">
        <v>1.5</v>
      </c>
      <c r="S46" s="26">
        <v>1104.83</v>
      </c>
      <c r="T46" s="26"/>
      <c r="U46" s="26"/>
      <c r="V46" s="26"/>
      <c r="W46" s="26"/>
      <c r="X46" s="26"/>
      <c r="Y46" s="26"/>
      <c r="Z46" s="26"/>
      <c r="AA46" s="26" t="s">
        <v>412</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413</v>
      </c>
      <c r="AT46" s="26" t="s">
        <v>414</v>
      </c>
      <c r="AU46" s="26"/>
      <c r="AV46" s="26"/>
      <c r="AW46" s="26"/>
      <c r="AX46" s="26"/>
      <c r="AY46" s="26"/>
      <c r="AZ46" s="26"/>
      <c r="BA46" s="26"/>
      <c r="BB46" s="26"/>
      <c r="BC46" s="26" t="s">
        <v>415</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3">
      <c r="B47" s="26"/>
      <c r="C47" s="26"/>
      <c r="D47" s="26"/>
      <c r="E47" s="26"/>
      <c r="F47" s="26"/>
      <c r="G47" s="26"/>
      <c r="H47" s="26"/>
      <c r="I47" s="26"/>
      <c r="J47" s="26"/>
      <c r="K47" s="26" t="e">
        <f>SUM(K46:K46)</f>
        <v>#REF!</v>
      </c>
      <c r="L47" s="26" t="s">
        <v>416</v>
      </c>
      <c r="M47" s="26" t="e">
        <f>VLOOKUP(I31,טור12,2,0)</f>
        <v>#N/A</v>
      </c>
      <c r="N47" s="26"/>
      <c r="O47" s="26">
        <v>2</v>
      </c>
      <c r="P47" s="26" t="e">
        <f t="shared" si="3"/>
        <v>#N/A</v>
      </c>
      <c r="Q47" s="26"/>
      <c r="R47" s="26">
        <v>2</v>
      </c>
      <c r="S47" s="26">
        <v>1036.1400000000001</v>
      </c>
      <c r="T47" s="26"/>
      <c r="U47" s="26"/>
      <c r="V47" s="26"/>
      <c r="W47" s="26"/>
      <c r="X47" s="26"/>
      <c r="Y47" s="26"/>
      <c r="Z47" s="26" t="s">
        <v>417</v>
      </c>
      <c r="AA47" s="26"/>
      <c r="AB47" s="26"/>
      <c r="AC47" s="26"/>
      <c r="AD47" s="26"/>
      <c r="AE47" s="26"/>
      <c r="AF47" s="26" t="s">
        <v>418</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386</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3">
      <c r="B48" s="26"/>
      <c r="C48" s="26"/>
      <c r="D48" s="26"/>
      <c r="E48" s="26"/>
      <c r="F48" s="26"/>
      <c r="G48" s="26"/>
      <c r="H48" s="26"/>
      <c r="I48" s="26"/>
      <c r="J48" s="26"/>
      <c r="K48" s="26"/>
      <c r="L48" s="26" t="s">
        <v>301</v>
      </c>
      <c r="M48" s="26">
        <f>IF(H42=0,0,H44-M47)</f>
        <v>0</v>
      </c>
      <c r="N48" s="26"/>
      <c r="O48" s="26">
        <v>2.5</v>
      </c>
      <c r="P48" s="26" t="e">
        <f t="shared" si="3"/>
        <v>#N/A</v>
      </c>
      <c r="Q48" s="26"/>
      <c r="R48" s="26">
        <v>2.5</v>
      </c>
      <c r="S48" s="26">
        <v>952.99</v>
      </c>
      <c r="T48" s="26"/>
      <c r="U48" s="26"/>
      <c r="V48" s="26"/>
      <c r="W48" s="26"/>
      <c r="X48" s="26"/>
      <c r="Y48" s="26"/>
      <c r="Z48" s="26"/>
      <c r="AA48" s="26" t="s">
        <v>419</v>
      </c>
      <c r="AB48" s="26" t="e">
        <f>#REF!+(#REF!+#REF!+#REF!)/12</f>
        <v>#REF!</v>
      </c>
      <c r="AC48" s="26"/>
      <c r="AD48" s="26"/>
      <c r="AE48" s="26"/>
      <c r="AF48" s="26"/>
      <c r="AG48" s="26" t="s">
        <v>59</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3">
      <c r="B49" s="26"/>
      <c r="C49" s="26"/>
      <c r="D49" s="26"/>
      <c r="E49" s="26"/>
      <c r="F49" s="26"/>
      <c r="G49" s="26"/>
      <c r="H49" s="26"/>
      <c r="I49" s="26"/>
      <c r="J49" s="26"/>
      <c r="K49" s="26"/>
      <c r="L49" s="26" t="s">
        <v>420</v>
      </c>
      <c r="M49" s="26" t="e">
        <f>M47+M48</f>
        <v>#N/A</v>
      </c>
      <c r="N49" s="26"/>
      <c r="O49" s="26">
        <v>3</v>
      </c>
      <c r="P49" s="26" t="e">
        <f t="shared" si="3"/>
        <v>#N/A</v>
      </c>
      <c r="Q49" s="26"/>
      <c r="R49" s="26">
        <v>3</v>
      </c>
      <c r="S49" s="26">
        <v>869.86</v>
      </c>
      <c r="T49" s="26"/>
      <c r="U49" s="26"/>
      <c r="V49" s="26" t="s">
        <v>59</v>
      </c>
      <c r="W49" s="26"/>
      <c r="X49" s="26"/>
      <c r="Y49" s="26"/>
      <c r="Z49" s="26" t="e">
        <f>(1-#REF!/#REF!)*#REF!</f>
        <v>#REF!</v>
      </c>
      <c r="AA49" s="26" t="s">
        <v>421</v>
      </c>
      <c r="AB49" s="26" t="e">
        <f>#REF!+(#REF!+#REF!)/12</f>
        <v>#REF!</v>
      </c>
      <c r="AC49" s="26"/>
      <c r="AD49" s="26"/>
      <c r="AE49" s="26"/>
      <c r="AF49" s="26"/>
      <c r="AG49" s="26" t="s">
        <v>59</v>
      </c>
      <c r="AH49" s="26"/>
      <c r="AI49" s="26"/>
      <c r="AJ49" s="26"/>
      <c r="AK49" s="26"/>
      <c r="AL49" s="26"/>
      <c r="AM49" s="26"/>
      <c r="AN49" s="26"/>
      <c r="AO49" s="26"/>
      <c r="AP49" s="26"/>
      <c r="AQ49" s="26"/>
      <c r="AR49" s="26"/>
      <c r="AS49" s="26" t="s">
        <v>422</v>
      </c>
      <c r="AT49" s="26" t="s">
        <v>423</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3">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424</v>
      </c>
      <c r="AB50" s="26" t="e">
        <f>#REF!</f>
        <v>#REF!</v>
      </c>
      <c r="AC50" s="26"/>
      <c r="AD50" s="26"/>
      <c r="AE50" s="26"/>
      <c r="AF50" s="26"/>
      <c r="AG50" s="26" t="s">
        <v>59</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3">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59</v>
      </c>
      <c r="AB51" s="26"/>
      <c r="AC51" s="26"/>
      <c r="AD51" s="26"/>
      <c r="AE51" s="26"/>
      <c r="AF51" s="26"/>
      <c r="AG51" s="26" t="s">
        <v>59</v>
      </c>
      <c r="AH51" s="26"/>
      <c r="AI51" s="26"/>
      <c r="AJ51" s="26"/>
      <c r="AK51" s="26"/>
      <c r="AL51" s="26"/>
      <c r="AM51" s="26"/>
      <c r="AN51" s="26"/>
      <c r="AO51" s="26"/>
      <c r="AP51" s="26"/>
      <c r="AQ51" s="26"/>
      <c r="AR51" s="26"/>
      <c r="AS51" s="26" t="s">
        <v>425</v>
      </c>
      <c r="AT51" s="26" t="s">
        <v>426</v>
      </c>
      <c r="AU51" s="26"/>
      <c r="AV51" s="26"/>
      <c r="AW51" s="26"/>
      <c r="AX51" s="26"/>
      <c r="AY51" s="26"/>
      <c r="AZ51" s="26"/>
      <c r="BA51" s="26"/>
      <c r="BB51" s="26"/>
      <c r="BC51" s="26"/>
      <c r="BD51" s="26"/>
      <c r="BE51" s="26" t="s">
        <v>427</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3">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3">
      <c r="B53" s="26"/>
      <c r="C53" s="26"/>
      <c r="D53" s="26"/>
      <c r="E53" s="26"/>
      <c r="F53" s="26"/>
      <c r="G53" s="26"/>
      <c r="H53" s="26"/>
      <c r="I53" s="26"/>
      <c r="J53" s="26"/>
      <c r="K53" s="26" t="s">
        <v>428</v>
      </c>
      <c r="L53" s="26" t="s">
        <v>429</v>
      </c>
      <c r="M53" s="26"/>
      <c r="N53" s="26"/>
      <c r="O53" s="26">
        <v>5</v>
      </c>
      <c r="P53" s="26" t="e">
        <f t="shared" si="3"/>
        <v>#N/A</v>
      </c>
      <c r="Q53" s="26"/>
      <c r="R53" s="26">
        <v>5</v>
      </c>
      <c r="S53" s="26">
        <v>593.47</v>
      </c>
      <c r="T53" s="26"/>
      <c r="U53" s="26"/>
      <c r="V53" s="26"/>
      <c r="W53" s="26"/>
      <c r="X53" s="26"/>
      <c r="Y53" s="26"/>
      <c r="Z53" s="26"/>
      <c r="AA53" s="26" t="s">
        <v>430</v>
      </c>
      <c r="AB53" s="26"/>
      <c r="AC53" s="26" t="s">
        <v>424</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3">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3">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3">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3">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3">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431</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3">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3">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432</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433</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3">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59</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3">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434</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3">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275</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3">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3">
      <c r="B65" s="26"/>
      <c r="C65" s="26"/>
      <c r="D65" s="26"/>
      <c r="E65" s="26"/>
      <c r="F65" s="26"/>
      <c r="G65" s="26"/>
      <c r="H65" s="26"/>
      <c r="I65" s="26"/>
      <c r="J65" s="26" t="s">
        <v>269</v>
      </c>
      <c r="K65" s="26" t="s">
        <v>435</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436</v>
      </c>
      <c r="BG65" s="26" t="s">
        <v>84</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3">
      <c r="B66" s="26"/>
      <c r="C66" s="26"/>
      <c r="D66" s="26"/>
      <c r="E66" s="26"/>
      <c r="F66" s="26"/>
      <c r="G66" s="26"/>
      <c r="H66" s="26"/>
      <c r="I66" s="26"/>
      <c r="J66" s="26">
        <f>IF(C19=F18,F26,F33)</f>
        <v>1</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379</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3">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437</v>
      </c>
      <c r="BG67" s="26" t="s">
        <v>115</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3">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438</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3">
      <c r="B69" s="26"/>
      <c r="C69" s="26"/>
      <c r="D69" s="26"/>
      <c r="E69" s="26"/>
      <c r="F69" s="26"/>
      <c r="G69" s="26"/>
      <c r="H69" s="26"/>
      <c r="I69" s="26"/>
      <c r="J69" s="26"/>
      <c r="K69" s="26"/>
      <c r="L69" s="26"/>
      <c r="M69" s="26"/>
      <c r="N69" s="26"/>
      <c r="O69" s="26">
        <v>952.99</v>
      </c>
      <c r="P69" s="26"/>
      <c r="Q69" s="26"/>
      <c r="R69" s="26"/>
      <c r="S69" s="26">
        <v>12700</v>
      </c>
      <c r="T69" s="26"/>
      <c r="U69" s="26"/>
      <c r="V69" s="26"/>
      <c r="W69" s="26" t="s">
        <v>407</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439</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3">
      <c r="B70" s="26"/>
      <c r="C70" s="26"/>
      <c r="D70" s="26"/>
      <c r="E70" s="26"/>
      <c r="F70" s="26"/>
      <c r="G70" s="26"/>
      <c r="H70" s="26"/>
      <c r="I70" s="26"/>
      <c r="J70" s="26"/>
      <c r="K70" s="26"/>
      <c r="L70" s="26"/>
      <c r="M70" s="26"/>
      <c r="N70" s="26"/>
      <c r="O70" s="26">
        <v>755</v>
      </c>
      <c r="P70" s="26"/>
      <c r="Q70" s="26"/>
      <c r="R70" s="26" t="s">
        <v>440</v>
      </c>
      <c r="S70" s="26">
        <f>VLOOKUP(S69,S72:S88,1,1)</f>
        <v>12327.664561877935</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441</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3">
      <c r="B71" s="26"/>
      <c r="C71" s="26"/>
      <c r="D71" s="26"/>
      <c r="E71" s="26"/>
      <c r="F71" s="26"/>
      <c r="G71" s="26"/>
      <c r="H71" s="26"/>
      <c r="I71" s="26"/>
      <c r="J71" s="26"/>
      <c r="K71" s="26"/>
      <c r="L71" s="26"/>
      <c r="M71" s="26"/>
      <c r="N71" s="26"/>
      <c r="O71" s="26">
        <v>714</v>
      </c>
      <c r="P71" s="26"/>
      <c r="Q71" s="26"/>
      <c r="R71" s="26" t="s">
        <v>442</v>
      </c>
      <c r="S71" s="26" t="s">
        <v>443</v>
      </c>
      <c r="T71" s="26" t="s">
        <v>9</v>
      </c>
      <c r="U71" s="26" t="s">
        <v>444</v>
      </c>
      <c r="V71" s="26" t="s">
        <v>445</v>
      </c>
      <c r="W71" s="26" t="s">
        <v>446</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447</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3">
      <c r="B72" s="26"/>
      <c r="C72" s="26"/>
      <c r="D72" s="26"/>
      <c r="E72" s="26"/>
      <c r="F72" s="26"/>
      <c r="G72" s="26"/>
      <c r="H72" s="26"/>
      <c r="I72" s="26"/>
      <c r="J72" s="26"/>
      <c r="K72" s="26"/>
      <c r="L72" s="26"/>
      <c r="M72" s="26"/>
      <c r="N72" s="26"/>
      <c r="O72" s="26">
        <v>628</v>
      </c>
      <c r="P72" s="26"/>
      <c r="Q72" s="26"/>
      <c r="R72" s="26">
        <f>IF(OR($C$5=$CB$16,$C$5=$CC$16),S72*1.05,S72)</f>
        <v>8648.7177224530697</v>
      </c>
      <c r="S72" s="26">
        <f>VLOOKUP(INT(W18),ofek4,1+2,FALSE)</f>
        <v>8236.8740213838755</v>
      </c>
      <c r="T72" s="26">
        <f>S72*0.75</f>
        <v>6177.6555160379066</v>
      </c>
      <c r="U72" s="26">
        <f t="shared" ref="U72:U88" si="5">T72*$U$70</f>
        <v>5631.2140861945318</v>
      </c>
      <c r="V72" s="26">
        <f t="shared" ref="V72:V88" si="6">U72*$S$64</f>
        <v>4899.0436307075188</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251</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3">
      <c r="B73" s="26"/>
      <c r="C73" s="26"/>
      <c r="D73" s="26"/>
      <c r="E73" s="26"/>
      <c r="F73" s="26"/>
      <c r="G73" s="26"/>
      <c r="H73" s="26"/>
      <c r="I73" s="26"/>
      <c r="J73" s="26"/>
      <c r="K73" s="26"/>
      <c r="L73" s="26"/>
      <c r="M73" s="26"/>
      <c r="N73" s="26"/>
      <c r="O73" s="26">
        <v>543</v>
      </c>
      <c r="P73" s="26"/>
      <c r="Q73" s="26"/>
      <c r="R73" s="26">
        <f>R72*1.0375</f>
        <v>8973.0446370450609</v>
      </c>
      <c r="S73" s="26">
        <f>S72*1.0375</f>
        <v>8545.7567971857716</v>
      </c>
      <c r="T73" s="26">
        <f t="shared" ref="T73:T88" si="7">S73*0.75</f>
        <v>6409.3175978893287</v>
      </c>
      <c r="U73" s="26">
        <f t="shared" si="5"/>
        <v>5842.3846144268273</v>
      </c>
      <c r="V73" s="26">
        <f t="shared" si="6"/>
        <v>5082.7577668590511</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376</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3">
      <c r="B74" s="26"/>
      <c r="C74" s="26"/>
      <c r="D74" s="26"/>
      <c r="E74" s="26"/>
      <c r="F74" s="26"/>
      <c r="G74" s="26"/>
      <c r="H74" s="26"/>
      <c r="I74" s="26" t="s">
        <v>448</v>
      </c>
      <c r="J74" s="26"/>
      <c r="K74" s="26"/>
      <c r="L74" s="26"/>
      <c r="M74" s="26"/>
      <c r="N74" s="26"/>
      <c r="O74" s="26">
        <v>543</v>
      </c>
      <c r="P74" s="26"/>
      <c r="Q74" s="26"/>
      <c r="R74" s="26">
        <f>IF(OR($C$5=$CB$16,$C$5=$CC$16),S74*1.05,S74)</f>
        <v>9297.3715516370503</v>
      </c>
      <c r="S74" s="26">
        <f>VLOOKUP(INT(W18),ofek4,2+2,FALSE)</f>
        <v>8854.6395729876658</v>
      </c>
      <c r="T74" s="26">
        <f t="shared" si="7"/>
        <v>6640.9796797407489</v>
      </c>
      <c r="U74" s="26">
        <f t="shared" si="5"/>
        <v>6053.555142659121</v>
      </c>
      <c r="V74" s="26">
        <f t="shared" si="6"/>
        <v>5266.4719030105816</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3">
      <c r="B75" s="26"/>
      <c r="C75" s="26"/>
      <c r="D75" s="26"/>
      <c r="E75" s="26"/>
      <c r="F75" s="26"/>
      <c r="G75" s="26"/>
      <c r="H75" s="26"/>
      <c r="I75" s="26">
        <f>C25+D25+E25</f>
        <v>1</v>
      </c>
      <c r="J75" s="26"/>
      <c r="K75" s="26">
        <f>D25*0.1</f>
        <v>0</v>
      </c>
      <c r="L75" s="26">
        <f>E25*1</f>
        <v>0</v>
      </c>
      <c r="M75" s="26"/>
      <c r="N75" s="26"/>
      <c r="O75" s="26">
        <v>543</v>
      </c>
      <c r="P75" s="26"/>
      <c r="Q75" s="26"/>
      <c r="R75" s="26">
        <f>R74*1.0375</f>
        <v>9646.0229848234412</v>
      </c>
      <c r="S75" s="26">
        <f>S74*1.0375</f>
        <v>9186.6885569747046</v>
      </c>
      <c r="T75" s="26">
        <f t="shared" si="7"/>
        <v>6890.0164177310289</v>
      </c>
      <c r="U75" s="26">
        <f t="shared" si="5"/>
        <v>6280.5634605088399</v>
      </c>
      <c r="V75" s="26">
        <f t="shared" si="6"/>
        <v>5463.9645993734803</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3">
      <c r="B76" s="26"/>
      <c r="C76" s="26"/>
      <c r="D76" s="26"/>
      <c r="E76" s="26"/>
      <c r="F76" s="26"/>
      <c r="G76" s="26"/>
      <c r="H76" s="26"/>
      <c r="I76" s="26"/>
      <c r="J76" s="26"/>
      <c r="K76" s="26"/>
      <c r="L76" s="26"/>
      <c r="M76" s="26"/>
      <c r="N76" s="26"/>
      <c r="O76" s="26">
        <v>543</v>
      </c>
      <c r="P76" s="26"/>
      <c r="Q76" s="26"/>
      <c r="R76" s="26">
        <f>IF(OR($C$5=$CB$16,$C$5=$CC$16),S76*1.05,S76)</f>
        <v>9994.6744180098267</v>
      </c>
      <c r="S76" s="26">
        <f>VLOOKUP(INT(W18),ofek4,3+2,FALSE)</f>
        <v>9518.7375409617398</v>
      </c>
      <c r="T76" s="26">
        <f t="shared" si="7"/>
        <v>7139.0531557213053</v>
      </c>
      <c r="U76" s="26">
        <f t="shared" si="5"/>
        <v>6507.5717783585551</v>
      </c>
      <c r="V76" s="26">
        <f t="shared" si="6"/>
        <v>5661.4572957363753</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449</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3">
      <c r="B77" s="26"/>
      <c r="C77" s="26"/>
      <c r="D77" s="26"/>
      <c r="E77" s="26"/>
      <c r="F77" s="26"/>
      <c r="G77" s="26"/>
      <c r="H77" s="26"/>
      <c r="I77" s="26"/>
      <c r="J77" s="26"/>
      <c r="K77" s="26">
        <f>I75+K75+L75</f>
        <v>1</v>
      </c>
      <c r="L77" s="26"/>
      <c r="M77" s="26"/>
      <c r="N77" s="26"/>
      <c r="O77" s="26">
        <v>543</v>
      </c>
      <c r="P77" s="26"/>
      <c r="Q77" s="26"/>
      <c r="R77" s="26">
        <f>R76*1.0375</f>
        <v>10369.474708685197</v>
      </c>
      <c r="S77" s="26">
        <f>S76*1.0375</f>
        <v>9875.6901987478068</v>
      </c>
      <c r="T77" s="26">
        <f t="shared" si="7"/>
        <v>7406.7676490608555</v>
      </c>
      <c r="U77" s="26">
        <f t="shared" si="5"/>
        <v>6751.6057200470023</v>
      </c>
      <c r="V77" s="26">
        <f t="shared" si="6"/>
        <v>5873.7619443264912</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451</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3">
      <c r="B78" s="26"/>
      <c r="C78" s="26"/>
      <c r="D78" s="26"/>
      <c r="E78" s="26"/>
      <c r="F78" s="26"/>
      <c r="G78" s="26"/>
      <c r="H78" s="26"/>
      <c r="I78" s="26"/>
      <c r="J78" s="26"/>
      <c r="K78" s="26"/>
      <c r="L78" s="26"/>
      <c r="M78" s="26"/>
      <c r="N78" s="26"/>
      <c r="O78" s="26">
        <v>543</v>
      </c>
      <c r="P78" s="26"/>
      <c r="Q78" s="26"/>
      <c r="R78" s="26">
        <f>IF(OR($C$5=$CB$16,$C$5=$CC$16),S78*1.05,S78)</f>
        <v>10744.274999360565</v>
      </c>
      <c r="S78" s="26">
        <f>VLOOKUP(INT(W18),ofek4,4+2,FALSE)</f>
        <v>10232.64285653387</v>
      </c>
      <c r="T78" s="26">
        <f t="shared" si="7"/>
        <v>7674.4821424004022</v>
      </c>
      <c r="U78" s="26">
        <f t="shared" si="5"/>
        <v>6995.6396617354458</v>
      </c>
      <c r="V78" s="26">
        <f t="shared" si="6"/>
        <v>6086.0665929166025</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3">
      <c r="B79" s="26"/>
      <c r="C79" s="26"/>
      <c r="D79" s="26"/>
      <c r="E79" s="26"/>
      <c r="F79" s="26"/>
      <c r="G79" s="26"/>
      <c r="H79" s="26"/>
      <c r="I79" s="26"/>
      <c r="J79" s="26"/>
      <c r="K79" s="26"/>
      <c r="L79" s="26"/>
      <c r="M79" s="26"/>
      <c r="N79" s="26"/>
      <c r="O79" s="26">
        <v>543</v>
      </c>
      <c r="P79" s="26"/>
      <c r="Q79" s="26"/>
      <c r="R79" s="26">
        <f>R78*1.0375</f>
        <v>11147.185311836587</v>
      </c>
      <c r="S79" s="26">
        <f>S78*1.0375</f>
        <v>10616.366963653891</v>
      </c>
      <c r="T79" s="26">
        <f t="shared" si="7"/>
        <v>7962.275222740418</v>
      </c>
      <c r="U79" s="26">
        <f t="shared" si="5"/>
        <v>7257.9761490505261</v>
      </c>
      <c r="V79" s="26">
        <f t="shared" si="6"/>
        <v>6314.2940901509764</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3">
      <c r="B80" s="26"/>
      <c r="C80" s="26"/>
      <c r="D80" s="26"/>
      <c r="E80" s="26"/>
      <c r="F80" s="26"/>
      <c r="G80" s="26"/>
      <c r="H80" s="26"/>
      <c r="I80" s="26"/>
      <c r="J80" s="26"/>
      <c r="K80" s="26"/>
      <c r="L80" s="26"/>
      <c r="M80" s="26" t="s">
        <v>453</v>
      </c>
      <c r="N80" s="26"/>
      <c r="O80" s="26">
        <v>543</v>
      </c>
      <c r="P80" s="26"/>
      <c r="Q80" s="26"/>
      <c r="R80" s="26">
        <f>IF(OR($C$5=$CB$16,$C$5=$CC$16),S80*1.05,S80)</f>
        <v>11550.095624312606</v>
      </c>
      <c r="S80" s="26">
        <f>VLOOKUP(INT(W18),ofek4,5+2,FALSE)</f>
        <v>11000.091070773909</v>
      </c>
      <c r="T80" s="26">
        <f t="shared" si="7"/>
        <v>8250.0683030804321</v>
      </c>
      <c r="U80" s="26">
        <f t="shared" si="5"/>
        <v>7520.3126363656038</v>
      </c>
      <c r="V80" s="26">
        <f t="shared" si="6"/>
        <v>6542.5215873853476</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3">
      <c r="B81" s="26"/>
      <c r="C81" s="26"/>
      <c r="D81" s="26"/>
      <c r="E81" s="26"/>
      <c r="F81" s="26"/>
      <c r="G81" s="26"/>
      <c r="H81" s="26"/>
      <c r="I81" s="26"/>
      <c r="J81" s="26"/>
      <c r="K81" s="26"/>
      <c r="L81" s="26"/>
      <c r="M81" s="26" t="s">
        <v>278</v>
      </c>
      <c r="N81" s="26" t="str">
        <f>W18&amp;"  שנות הוראה  "</f>
        <v xml:space="preserve">22  שנות הוראה  </v>
      </c>
      <c r="O81" s="26">
        <v>543</v>
      </c>
      <c r="P81" s="26"/>
      <c r="Q81" s="26"/>
      <c r="R81" s="26">
        <f>R80*1.0375</f>
        <v>11983.224210224329</v>
      </c>
      <c r="S81" s="26">
        <f>S80*1.0375</f>
        <v>11412.594485927932</v>
      </c>
      <c r="T81" s="26">
        <f t="shared" si="7"/>
        <v>8559.4458644459482</v>
      </c>
      <c r="U81" s="26">
        <f t="shared" si="5"/>
        <v>7802.3243602293142</v>
      </c>
      <c r="V81" s="26">
        <f t="shared" si="6"/>
        <v>6787.866146912299</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3">
      <c r="B82" s="26"/>
      <c r="C82" s="26"/>
      <c r="D82" s="26"/>
      <c r="E82" s="26"/>
      <c r="F82" s="26"/>
      <c r="G82" s="26"/>
      <c r="H82" s="26"/>
      <c r="I82" s="26"/>
      <c r="J82" s="26"/>
      <c r="K82" s="26"/>
      <c r="L82" s="26"/>
      <c r="M82" s="26">
        <v>1</v>
      </c>
      <c r="N82" s="26">
        <f t="shared" ref="N82:N98" si="8">IF($C$5=$CB$16,R72*1.05,IF($C$5=$CE$16,T72,IF($C$5=$CF$16,U72,IF(OR($C$5=$CC$16,$C$5=$CD$16),S72,U72*$S$64))))</f>
        <v>8236.8740213838755</v>
      </c>
      <c r="O82" s="26"/>
      <c r="P82" s="26"/>
      <c r="Q82" s="26"/>
      <c r="R82" s="26">
        <f>IF(OR($C$5=$CB$16,$C$5=$CC$16),S82*1.05,S82)</f>
        <v>12416.352796136051</v>
      </c>
      <c r="S82" s="26">
        <f>VLOOKUP(INT(W18),ofek4,6+2,FALSE)</f>
        <v>11825.097901081952</v>
      </c>
      <c r="T82" s="26">
        <f t="shared" si="7"/>
        <v>8868.8234258114644</v>
      </c>
      <c r="U82" s="26">
        <f t="shared" si="5"/>
        <v>8084.3360840930245</v>
      </c>
      <c r="V82" s="26">
        <f t="shared" si="6"/>
        <v>7033.2107064392494</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3">
      <c r="B83" s="26"/>
      <c r="C83" s="26"/>
      <c r="D83" s="26"/>
      <c r="E83" s="26"/>
      <c r="F83" s="26"/>
      <c r="G83" s="26"/>
      <c r="H83" s="26"/>
      <c r="I83" s="26"/>
      <c r="J83" s="26"/>
      <c r="K83" s="26"/>
      <c r="L83" s="26"/>
      <c r="M83" s="26">
        <v>1.5</v>
      </c>
      <c r="N83" s="26">
        <f t="shared" si="8"/>
        <v>8545.7567971857716</v>
      </c>
      <c r="O83" s="26"/>
      <c r="P83" s="26"/>
      <c r="Q83" s="26"/>
      <c r="R83" s="26">
        <f>R82*1.0375</f>
        <v>12881.966025991154</v>
      </c>
      <c r="S83" s="26">
        <f>S82*1.0425</f>
        <v>12327.664561877935</v>
      </c>
      <c r="T83" s="26">
        <f t="shared" si="7"/>
        <v>9245.7484214084507</v>
      </c>
      <c r="U83" s="26">
        <f t="shared" si="5"/>
        <v>8427.9203676669767</v>
      </c>
      <c r="V83" s="26">
        <f t="shared" si="6"/>
        <v>7332.1221614629167</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3">
      <c r="B84" s="26"/>
      <c r="C84" s="26"/>
      <c r="D84" s="26"/>
      <c r="E84" s="26"/>
      <c r="F84" s="26"/>
      <c r="G84" s="26"/>
      <c r="H84" s="26"/>
      <c r="I84" s="26"/>
      <c r="J84" s="26"/>
      <c r="K84" s="26"/>
      <c r="L84" s="26"/>
      <c r="M84" s="26">
        <v>2</v>
      </c>
      <c r="N84" s="26">
        <f t="shared" si="8"/>
        <v>8854.6395729876658</v>
      </c>
      <c r="O84" s="26"/>
      <c r="P84" s="26"/>
      <c r="Q84" s="26"/>
      <c r="R84" s="26">
        <f>IF(OR($C$5=$CB$16,$C$5=$CC$16),S84*1.05,S84)</f>
        <v>13471.742783807615</v>
      </c>
      <c r="S84" s="26">
        <f>VLOOKUP(INT(W18),ofek4,7+2,FALSE)</f>
        <v>12830.231222673918</v>
      </c>
      <c r="T84" s="26">
        <f>S84*0.75</f>
        <v>9622.6734170054388</v>
      </c>
      <c r="U84" s="26">
        <f t="shared" si="5"/>
        <v>8771.5046512409317</v>
      </c>
      <c r="V84" s="26">
        <f t="shared" si="6"/>
        <v>7631.0336164865857</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3">
      <c r="B85" s="26"/>
      <c r="C85" s="26"/>
      <c r="D85" s="26"/>
      <c r="E85" s="26"/>
      <c r="F85" s="26"/>
      <c r="G85" s="26"/>
      <c r="H85" s="26"/>
      <c r="I85" s="26"/>
      <c r="J85" s="26"/>
      <c r="K85" s="26"/>
      <c r="L85" s="26"/>
      <c r="M85" s="26">
        <v>2.5</v>
      </c>
      <c r="N85" s="26">
        <f t="shared" si="8"/>
        <v>9186.6885569747046</v>
      </c>
      <c r="O85" s="26" t="s">
        <v>9</v>
      </c>
      <c r="P85" s="26" t="s">
        <v>12</v>
      </c>
      <c r="Q85" s="26" t="s">
        <v>13</v>
      </c>
      <c r="R85" s="26">
        <f>R84*1.0375</f>
        <v>13976.933138200402</v>
      </c>
      <c r="S85" s="26">
        <f>S84*1.0425</f>
        <v>13375.516049637559</v>
      </c>
      <c r="T85" s="26">
        <f t="shared" si="7"/>
        <v>10031.637037228169</v>
      </c>
      <c r="U85" s="26">
        <f t="shared" si="5"/>
        <v>9144.2935989186699</v>
      </c>
      <c r="V85" s="26">
        <f t="shared" si="6"/>
        <v>7955.3525451872638</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3">
      <c r="B86" s="26"/>
      <c r="C86" s="26"/>
      <c r="D86" s="26"/>
      <c r="E86" s="26"/>
      <c r="F86" s="26"/>
      <c r="G86" s="26"/>
      <c r="H86" s="26"/>
      <c r="I86" s="26"/>
      <c r="J86" s="26"/>
      <c r="K86" s="26"/>
      <c r="L86" s="26"/>
      <c r="M86" s="26">
        <v>3</v>
      </c>
      <c r="N86" s="26">
        <f t="shared" si="8"/>
        <v>9518.7375409617398</v>
      </c>
      <c r="O86" s="26">
        <f t="shared" ref="O86:O102" si="9">N120*0.75</f>
        <v>4725.0025781249997</v>
      </c>
      <c r="P86" s="26">
        <f t="shared" ref="P86:P102" si="10">O86*$U$70</f>
        <v>4307.0548375782419</v>
      </c>
      <c r="Q86" s="26">
        <f t="shared" ref="Q86:Q102" si="11">P86*$S$64</f>
        <v>3747.0515675963188</v>
      </c>
      <c r="R86" s="26">
        <f>IF(OR($C$5=$CB$16,$C$5=$CC$16),S86*1.05,S86)</f>
        <v>14616.840920431261</v>
      </c>
      <c r="S86" s="26">
        <f>VLOOKUP(INT(W18),ofek4,8+2,FALSE)</f>
        <v>13920.800876601201</v>
      </c>
      <c r="T86" s="26">
        <f t="shared" si="7"/>
        <v>10440.600657450901</v>
      </c>
      <c r="U86" s="26">
        <f t="shared" si="5"/>
        <v>9517.0825465964099</v>
      </c>
      <c r="V86" s="26">
        <f t="shared" si="6"/>
        <v>8279.6714738879436</v>
      </c>
      <c r="W86" s="26" t="e">
        <f>W73*BG72</f>
        <v>#REF!</v>
      </c>
      <c r="X86" s="26">
        <v>8.5</v>
      </c>
      <c r="Y86" s="26"/>
      <c r="Z86" s="26"/>
      <c r="AA86" s="26"/>
      <c r="AB86" s="26"/>
      <c r="AC86" s="26"/>
      <c r="AD86" s="26"/>
      <c r="AE86" s="26"/>
      <c r="AF86" s="26"/>
      <c r="AG86" s="26" t="s">
        <v>59</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3">
      <c r="A87" t="s">
        <v>59</v>
      </c>
      <c r="B87" s="26"/>
      <c r="C87" s="26"/>
      <c r="D87" s="26"/>
      <c r="E87" s="26"/>
      <c r="F87" s="26"/>
      <c r="G87" s="26"/>
      <c r="H87" s="26"/>
      <c r="I87" s="26"/>
      <c r="J87" s="26"/>
      <c r="K87" s="26"/>
      <c r="L87" s="26"/>
      <c r="M87" s="26">
        <v>3.5</v>
      </c>
      <c r="N87" s="26">
        <f t="shared" si="8"/>
        <v>9875.6901987478068</v>
      </c>
      <c r="O87" s="26">
        <f t="shared" si="9"/>
        <v>4902.1901748046876</v>
      </c>
      <c r="P87" s="26">
        <f t="shared" si="10"/>
        <v>4468.5693939874263</v>
      </c>
      <c r="Q87" s="26">
        <f t="shared" si="11"/>
        <v>3887.5660013811812</v>
      </c>
      <c r="R87" s="26">
        <f>R86*1.0375</f>
        <v>15164.972454947434</v>
      </c>
      <c r="S87" s="26">
        <f>S86*1.0425</f>
        <v>14512.434913856752</v>
      </c>
      <c r="T87" s="26">
        <f t="shared" si="7"/>
        <v>10884.326185392565</v>
      </c>
      <c r="U87" s="26">
        <f t="shared" si="5"/>
        <v>9921.5585548267591</v>
      </c>
      <c r="V87" s="26">
        <f t="shared" si="6"/>
        <v>8631.5575115281845</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3">
      <c r="B88" s="26"/>
      <c r="C88" s="26"/>
      <c r="D88" s="26"/>
      <c r="E88" s="26"/>
      <c r="F88" s="26"/>
      <c r="G88" s="26"/>
      <c r="H88" s="26"/>
      <c r="I88" s="26"/>
      <c r="J88" s="26"/>
      <c r="K88" s="26"/>
      <c r="L88" s="26"/>
      <c r="M88" s="26">
        <v>4</v>
      </c>
      <c r="N88" s="26">
        <f t="shared" si="8"/>
        <v>10232.64285653387</v>
      </c>
      <c r="O88" s="26">
        <f t="shared" si="9"/>
        <v>5079.3777714843745</v>
      </c>
      <c r="P88" s="26">
        <f t="shared" si="10"/>
        <v>4630.0839503966099</v>
      </c>
      <c r="Q88" s="26">
        <f t="shared" si="11"/>
        <v>4028.0804351660427</v>
      </c>
      <c r="R88" s="26">
        <f>IF(OR($C$5=$CB$16,$C$5=$CC$16),S88*1.05,S88)</f>
        <v>15859.272398667918</v>
      </c>
      <c r="S88" s="26">
        <f>VLOOKUP(INT(W18),ofek4,9+2,FALSE)</f>
        <v>15104.068951112302</v>
      </c>
      <c r="T88" s="26">
        <f t="shared" si="7"/>
        <v>11328.051713334225</v>
      </c>
      <c r="U88" s="26">
        <f t="shared" si="5"/>
        <v>10326.034563057103</v>
      </c>
      <c r="V88" s="26">
        <f t="shared" si="6"/>
        <v>8983.443549168418</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3">
      <c r="B89" s="26"/>
      <c r="C89" s="26"/>
      <c r="D89" s="26"/>
      <c r="E89" s="26"/>
      <c r="F89" s="26"/>
      <c r="G89" s="26"/>
      <c r="H89" s="26"/>
      <c r="I89" s="26"/>
      <c r="J89" s="26"/>
      <c r="K89" s="26"/>
      <c r="L89" s="26"/>
      <c r="M89" s="26">
        <v>4.5</v>
      </c>
      <c r="N89" s="26">
        <f t="shared" si="8"/>
        <v>10616.366963653891</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454</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3">
      <c r="B90" s="26"/>
      <c r="C90" s="26"/>
      <c r="D90" s="26"/>
      <c r="E90" s="26"/>
      <c r="F90" s="26"/>
      <c r="G90" s="26"/>
      <c r="H90" s="26"/>
      <c r="I90" s="26"/>
      <c r="J90" s="26"/>
      <c r="K90" s="26"/>
      <c r="L90" s="26"/>
      <c r="M90" s="26">
        <v>5</v>
      </c>
      <c r="N90" s="26">
        <f t="shared" si="8"/>
        <v>11000.091070773909</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59</v>
      </c>
      <c r="AL90" s="26"/>
      <c r="AM90" s="26"/>
      <c r="AN90" s="26"/>
      <c r="AO90" s="26"/>
      <c r="AP90" s="26"/>
      <c r="AQ90" s="26"/>
      <c r="AR90" s="26"/>
      <c r="AS90" s="26"/>
      <c r="AT90" s="26"/>
      <c r="AU90" s="26"/>
      <c r="AV90" s="26"/>
      <c r="AW90" s="26"/>
      <c r="AX90" s="26"/>
      <c r="AY90" s="26" t="s">
        <v>455</v>
      </c>
      <c r="AZ90" s="26"/>
      <c r="BA90" s="26"/>
      <c r="BB90" s="26" t="e">
        <f>IF(BC90&gt;'[1]נתוני מס'!L28*'[1]נתוני מס'!M28,'[1]נתוני מס'!L28*'[1]נתוני מס'!M28,BC90)</f>
        <v>#REF!</v>
      </c>
      <c r="BC90" s="26" t="e">
        <f>((BG77-(Q26*AJ30*12+AJ33+#REF!+#REF!))*'[1]נתוני מס'!L28)/12</f>
        <v>#REF!</v>
      </c>
      <c r="BD90" s="26"/>
      <c r="BE90" s="26"/>
      <c r="BF90" s="26"/>
      <c r="BG90" s="26"/>
      <c r="BH90" s="26" t="s">
        <v>456</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3">
      <c r="B91" s="26"/>
      <c r="C91" s="26"/>
      <c r="D91" s="26"/>
      <c r="E91" s="26"/>
      <c r="F91" s="26"/>
      <c r="G91" s="26"/>
      <c r="H91" s="26"/>
      <c r="I91" s="26"/>
      <c r="J91" s="26"/>
      <c r="K91" s="26"/>
      <c r="L91" s="26"/>
      <c r="M91" s="26">
        <v>5.5</v>
      </c>
      <c r="N91" s="26">
        <f t="shared" si="8"/>
        <v>11412.594485927932</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457</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59</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3">
      <c r="B92" s="26"/>
      <c r="C92" s="26"/>
      <c r="D92" s="26"/>
      <c r="E92" s="26"/>
      <c r="F92" s="26"/>
      <c r="G92" s="26"/>
      <c r="H92" s="26"/>
      <c r="I92" s="26"/>
      <c r="J92" s="26"/>
      <c r="K92" s="26"/>
      <c r="L92" s="26"/>
      <c r="M92" s="26">
        <v>6</v>
      </c>
      <c r="N92" s="26">
        <f t="shared" si="8"/>
        <v>11825.097901081952</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458</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3">
      <c r="B93" s="26"/>
      <c r="C93" s="26"/>
      <c r="D93" s="26"/>
      <c r="E93" s="26"/>
      <c r="F93" s="26"/>
      <c r="G93" s="26"/>
      <c r="H93" s="26"/>
      <c r="I93" s="26"/>
      <c r="J93" s="26"/>
      <c r="K93" s="26"/>
      <c r="L93" s="26"/>
      <c r="M93" s="26">
        <v>6.5</v>
      </c>
      <c r="N93" s="26">
        <f t="shared" si="8"/>
        <v>12327.664561877935</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459</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3">
      <c r="B94" s="26"/>
      <c r="C94" s="26"/>
      <c r="D94" s="26"/>
      <c r="E94" s="26"/>
      <c r="F94" s="26"/>
      <c r="G94" s="26"/>
      <c r="H94" s="26"/>
      <c r="I94" s="26"/>
      <c r="J94" s="26"/>
      <c r="K94" s="26"/>
      <c r="L94" s="26"/>
      <c r="M94" s="26">
        <v>7</v>
      </c>
      <c r="N94" s="26">
        <f t="shared" si="8"/>
        <v>12830.231222673918</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460</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3">
      <c r="B95" s="26"/>
      <c r="C95" s="26"/>
      <c r="D95" s="26"/>
      <c r="E95" s="26"/>
      <c r="F95" s="26"/>
      <c r="G95" s="26"/>
      <c r="H95" s="26"/>
      <c r="I95" s="26"/>
      <c r="J95" s="26"/>
      <c r="K95" s="26"/>
      <c r="L95" s="26"/>
      <c r="M95" s="26">
        <v>7.5</v>
      </c>
      <c r="N95" s="26">
        <f t="shared" si="8"/>
        <v>13375.516049637559</v>
      </c>
      <c r="O95" s="26">
        <f t="shared" si="9"/>
        <v>6546.7236999267334</v>
      </c>
      <c r="P95" s="26">
        <f t="shared" si="10"/>
        <v>5967.6365284115645</v>
      </c>
      <c r="Q95" s="26">
        <f t="shared" si="11"/>
        <v>5191.7244269874927</v>
      </c>
      <c r="R95" s="26"/>
      <c r="S95" s="26"/>
      <c r="T95" s="26"/>
      <c r="U95" s="26" t="s">
        <v>59</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461</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3">
      <c r="B96" s="26"/>
      <c r="C96" s="26"/>
      <c r="D96" s="26"/>
      <c r="E96" s="26"/>
      <c r="F96" s="26"/>
      <c r="G96" s="26"/>
      <c r="H96" s="26"/>
      <c r="I96" s="26"/>
      <c r="J96" s="26"/>
      <c r="K96" s="26"/>
      <c r="L96" s="26"/>
      <c r="M96" s="26">
        <v>8</v>
      </c>
      <c r="N96" s="26">
        <f t="shared" si="8"/>
        <v>13920.800876601201</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462</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3">
      <c r="B97" s="26"/>
      <c r="C97" s="26"/>
      <c r="D97" s="26"/>
      <c r="E97" s="26"/>
      <c r="F97" s="26"/>
      <c r="G97" s="26"/>
      <c r="H97" s="26"/>
      <c r="I97" s="26"/>
      <c r="J97" s="26"/>
      <c r="K97" s="26"/>
      <c r="L97" s="26"/>
      <c r="M97" s="26">
        <v>8.5</v>
      </c>
      <c r="N97" s="26">
        <f t="shared" si="8"/>
        <v>14512.434913856752</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463</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3">
      <c r="B98" s="26"/>
      <c r="C98" s="26"/>
      <c r="D98" s="26"/>
      <c r="E98" s="26"/>
      <c r="F98" s="26"/>
      <c r="G98" s="26"/>
      <c r="H98" s="26"/>
      <c r="I98" s="26"/>
      <c r="J98" s="26"/>
      <c r="K98" s="26"/>
      <c r="L98" s="26"/>
      <c r="M98" s="26">
        <v>9</v>
      </c>
      <c r="N98" s="26">
        <f t="shared" si="8"/>
        <v>15104.068951112302</v>
      </c>
      <c r="O98" s="26">
        <f t="shared" si="9"/>
        <v>7359.9372101224508</v>
      </c>
      <c r="P98" s="26">
        <f t="shared" si="10"/>
        <v>6708.9176441696745</v>
      </c>
      <c r="Q98" s="26">
        <f t="shared" si="11"/>
        <v>5836.624172074733</v>
      </c>
      <c r="R98" s="26"/>
      <c r="S98" s="26"/>
      <c r="T98" s="26"/>
      <c r="U98" s="26" t="s">
        <v>59</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464</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3">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285</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3">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59</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3">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59</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465</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3">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204</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3">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59</v>
      </c>
      <c r="AB103" s="26" t="s">
        <v>59</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3">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466</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3">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3">
      <c r="B106" s="26"/>
      <c r="C106" s="26"/>
      <c r="D106" s="26"/>
      <c r="E106" s="26"/>
      <c r="F106" s="26"/>
      <c r="G106" s="26"/>
      <c r="H106" s="26"/>
      <c r="I106" s="26"/>
      <c r="J106" s="26"/>
      <c r="K106" s="26"/>
      <c r="L106" s="26"/>
      <c r="M106" s="26"/>
      <c r="N106" s="26">
        <v>4.5</v>
      </c>
      <c r="O106" s="26"/>
      <c r="P106" s="26">
        <f>(G202-T7)*2.4%</f>
        <v>2.6659199999999998</v>
      </c>
      <c r="Q106" s="26" t="s">
        <v>467</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3">
      <c r="B107" s="26"/>
      <c r="C107" s="26"/>
      <c r="D107" s="26"/>
      <c r="E107" s="26"/>
      <c r="F107" s="26"/>
      <c r="G107" s="26"/>
      <c r="H107" s="26"/>
      <c r="I107" s="26"/>
      <c r="J107" s="26"/>
      <c r="K107" s="26"/>
      <c r="L107" s="26"/>
      <c r="M107" s="26"/>
      <c r="N107" s="26">
        <v>5</v>
      </c>
      <c r="O107" s="26"/>
      <c r="P107" s="26">
        <f>IF(AB16=0,0,IF(G202-T7+BG70&gt;13,13,G202-T7+BG70))</f>
        <v>0</v>
      </c>
      <c r="Q107" s="26" t="s">
        <v>468</v>
      </c>
      <c r="R107" s="26" t="s">
        <v>469</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3">
      <c r="B108" s="26"/>
      <c r="C108" s="26"/>
      <c r="D108" s="26"/>
      <c r="E108" s="26"/>
      <c r="F108" s="26"/>
      <c r="G108" s="26"/>
      <c r="H108" s="26"/>
      <c r="I108" s="26"/>
      <c r="J108" s="26"/>
      <c r="K108" s="26"/>
      <c r="L108" s="26"/>
      <c r="M108" s="26"/>
      <c r="N108" s="26">
        <v>5.5</v>
      </c>
      <c r="O108" s="26"/>
      <c r="P108" s="26"/>
      <c r="Q108" s="26" t="s">
        <v>470</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3">
      <c r="B109" s="26"/>
      <c r="C109" s="26"/>
      <c r="D109" s="26"/>
      <c r="E109" s="26"/>
      <c r="F109" s="26"/>
      <c r="G109" s="26"/>
      <c r="H109" s="26"/>
      <c r="I109" s="26"/>
      <c r="J109" s="26"/>
      <c r="K109" s="26"/>
      <c r="L109" s="26"/>
      <c r="M109" s="26"/>
      <c r="N109" s="26">
        <v>6</v>
      </c>
      <c r="O109" s="26"/>
      <c r="P109" s="26"/>
      <c r="Q109" s="26" t="s">
        <v>471</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3">
      <c r="B110" s="26"/>
      <c r="C110" s="26"/>
      <c r="D110" s="26"/>
      <c r="E110" s="26"/>
      <c r="F110" s="26"/>
      <c r="G110" s="26"/>
      <c r="H110" s="26"/>
      <c r="I110" s="26"/>
      <c r="J110" s="26"/>
      <c r="K110" s="26"/>
      <c r="L110" s="26"/>
      <c r="M110" s="26"/>
      <c r="N110" s="26">
        <v>6.5</v>
      </c>
      <c r="O110" s="26"/>
      <c r="P110" s="26"/>
      <c r="Q110" s="26" t="s">
        <v>472</v>
      </c>
      <c r="R110" s="26" t="e">
        <f>#REF!</f>
        <v>#REF!</v>
      </c>
      <c r="S110" s="26" t="e">
        <f>#REF!</f>
        <v>#REF!</v>
      </c>
      <c r="T110" s="26"/>
      <c r="U110" s="26"/>
      <c r="V110" s="26" t="s">
        <v>450</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3">
      <c r="B111" s="26"/>
      <c r="C111" s="26"/>
      <c r="D111" s="26"/>
      <c r="E111" s="26"/>
      <c r="F111" s="26"/>
      <c r="G111" s="26"/>
      <c r="H111" s="26"/>
      <c r="I111" s="26"/>
      <c r="J111" s="26"/>
      <c r="K111" s="26"/>
      <c r="L111" s="26"/>
      <c r="M111" s="26"/>
      <c r="N111" s="26">
        <v>7</v>
      </c>
      <c r="O111" s="26"/>
      <c r="P111" s="26"/>
      <c r="Q111" s="26" t="s">
        <v>473</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3">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3">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3">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3">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3">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3">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3">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3">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3">
      <c r="B120" s="26"/>
      <c r="C120" s="26"/>
      <c r="D120" s="26"/>
      <c r="E120" s="26"/>
      <c r="F120" s="26"/>
      <c r="G120" s="26"/>
      <c r="H120" s="26"/>
      <c r="I120" s="26"/>
      <c r="J120" s="26"/>
      <c r="K120" s="26"/>
      <c r="L120" s="26">
        <f t="shared" si="12"/>
        <v>0</v>
      </c>
      <c r="M120" s="26">
        <f>IF(OR($C$5=$CB$16,$C$5=$CC$16),N120*1.05,N120)</f>
        <v>6615.0036093749995</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3">
      <c r="B121" s="26"/>
      <c r="C121" s="26"/>
      <c r="D121" s="26"/>
      <c r="E121" s="26"/>
      <c r="F121" s="26"/>
      <c r="G121" s="26"/>
      <c r="H121" s="26"/>
      <c r="I121" s="26"/>
      <c r="J121" s="26"/>
      <c r="K121" s="26"/>
      <c r="L121" s="26">
        <f t="shared" si="12"/>
        <v>0</v>
      </c>
      <c r="M121" s="26">
        <f>M120*1.0375</f>
        <v>6863.0662447265622</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3">
      <c r="B122" s="26"/>
      <c r="C122" s="26"/>
      <c r="D122" s="26"/>
      <c r="E122" s="26"/>
      <c r="F122" s="26"/>
      <c r="G122" s="26"/>
      <c r="H122" s="26"/>
      <c r="I122" s="26"/>
      <c r="J122" s="26"/>
      <c r="K122" s="26"/>
      <c r="L122" s="26">
        <f t="shared" si="12"/>
        <v>0</v>
      </c>
      <c r="M122" s="26">
        <f>IF(OR($C$5=$CB$16,$C$5=$CC$16),N122*1.05,N122)</f>
        <v>7111.128880078124</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3">
      <c r="B123" s="26"/>
      <c r="C123" s="26"/>
      <c r="D123" s="26"/>
      <c r="E123" s="26"/>
      <c r="F123" s="26"/>
      <c r="G123" s="26"/>
      <c r="H123" s="26"/>
      <c r="I123" s="26"/>
      <c r="J123" s="26"/>
      <c r="K123" s="26"/>
      <c r="L123" s="26">
        <f t="shared" si="12"/>
        <v>0</v>
      </c>
      <c r="M123" s="26">
        <f>M122*1.0375</f>
        <v>7377.7962130810547</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3">
      <c r="B124" s="26"/>
      <c r="C124" s="26"/>
      <c r="D124" s="26"/>
      <c r="E124" s="26"/>
      <c r="F124" s="26"/>
      <c r="G124" s="26"/>
      <c r="H124" s="26"/>
      <c r="I124" s="26"/>
      <c r="J124" s="26"/>
      <c r="K124" s="26"/>
      <c r="L124" s="26">
        <f t="shared" si="12"/>
        <v>0</v>
      </c>
      <c r="M124" s="26">
        <f>IF(OR($C$5=$CB$16,$C$5=$CC$16),N124*1.05,N124)</f>
        <v>7644.4635460839827</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3">
      <c r="B125" s="26"/>
      <c r="C125" s="26"/>
      <c r="D125" s="26"/>
      <c r="E125" s="26"/>
      <c r="F125" s="26"/>
      <c r="G125" s="26"/>
      <c r="H125" s="26"/>
      <c r="I125" s="26"/>
      <c r="J125" s="26"/>
      <c r="K125" s="26"/>
      <c r="L125" s="26">
        <f t="shared" si="12"/>
        <v>0</v>
      </c>
      <c r="M125" s="26">
        <f>M124*1.0375</f>
        <v>7931.130929062133</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3">
      <c r="B126" s="26"/>
      <c r="C126" s="26"/>
      <c r="D126" s="26"/>
      <c r="E126" s="26"/>
      <c r="F126" s="26"/>
      <c r="G126" s="26"/>
      <c r="H126" s="26">
        <f t="shared" ref="H126:H132" si="13">I126*1.05</f>
        <v>0</v>
      </c>
      <c r="I126" s="26"/>
      <c r="J126" s="26"/>
      <c r="K126" s="26"/>
      <c r="L126" s="26">
        <f t="shared" si="12"/>
        <v>0</v>
      </c>
      <c r="M126" s="26">
        <f>IF(OR($C$5=$CB$16,$C$5=$CC$16),N126*1.05,N126)</f>
        <v>8217.7983120402805</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3">
      <c r="B127" s="26"/>
      <c r="C127" s="26"/>
      <c r="D127" s="26"/>
      <c r="E127" s="26"/>
      <c r="F127" s="26"/>
      <c r="G127" s="26"/>
      <c r="H127" s="26">
        <f t="shared" si="13"/>
        <v>0</v>
      </c>
      <c r="I127" s="26"/>
      <c r="J127" s="26"/>
      <c r="K127" s="26"/>
      <c r="L127" s="26">
        <f t="shared" si="12"/>
        <v>0</v>
      </c>
      <c r="M127" s="26">
        <f>M126*1.0375</f>
        <v>8525.9657487417917</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3">
      <c r="B128" s="26"/>
      <c r="C128" s="26"/>
      <c r="D128" s="26"/>
      <c r="E128" s="26"/>
      <c r="F128" s="26"/>
      <c r="G128" s="26"/>
      <c r="H128" s="26">
        <f t="shared" si="13"/>
        <v>0</v>
      </c>
      <c r="I128" s="26"/>
      <c r="J128" s="26"/>
      <c r="K128" s="26"/>
      <c r="L128" s="26">
        <f t="shared" si="12"/>
        <v>0</v>
      </c>
      <c r="M128" s="26">
        <f>IF(OR($C$5=$CB$16,$C$5=$CC$16),N128*1.05,N128)</f>
        <v>8834.1331854433029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3">
      <c r="B129" s="26"/>
      <c r="C129" s="26"/>
      <c r="D129" s="26"/>
      <c r="E129" s="26"/>
      <c r="F129" s="26"/>
      <c r="G129" s="26"/>
      <c r="H129" s="26">
        <f t="shared" si="13"/>
        <v>0</v>
      </c>
      <c r="I129" s="26"/>
      <c r="J129" s="26"/>
      <c r="K129" s="26"/>
      <c r="L129" s="26">
        <f t="shared" si="12"/>
        <v>0</v>
      </c>
      <c r="M129" s="26">
        <f>M128*1.0375</f>
        <v>9165.4131798974267</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3">
      <c r="B130" s="26"/>
      <c r="C130" s="26"/>
      <c r="D130" s="26"/>
      <c r="E130" s="26"/>
      <c r="F130" s="26"/>
      <c r="G130" s="26"/>
      <c r="H130" s="26">
        <f t="shared" si="13"/>
        <v>0</v>
      </c>
      <c r="I130" s="26"/>
      <c r="J130" s="26"/>
      <c r="K130" s="26"/>
      <c r="L130" s="26">
        <f t="shared" si="12"/>
        <v>0</v>
      </c>
      <c r="M130" s="26">
        <f>IF(OR($C$5=$CB$16,$C$5=$CC$16),N130*1.05,N130)</f>
        <v>9496.6931743515506</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3">
      <c r="B131" s="26"/>
      <c r="C131" s="26"/>
      <c r="D131" s="26"/>
      <c r="E131" s="26"/>
      <c r="F131" s="26"/>
      <c r="G131" s="26"/>
      <c r="H131" s="26">
        <f t="shared" si="13"/>
        <v>0</v>
      </c>
      <c r="I131" s="26"/>
      <c r="J131" s="26"/>
      <c r="K131" s="26"/>
      <c r="L131" s="26">
        <f t="shared" si="12"/>
        <v>0</v>
      </c>
      <c r="M131" s="26">
        <f>M130*1.0375</f>
        <v>9852.8191683897348</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3">
      <c r="B132" s="26"/>
      <c r="C132" s="26"/>
      <c r="D132" s="26"/>
      <c r="E132" s="26"/>
      <c r="F132" s="26"/>
      <c r="G132" s="26"/>
      <c r="H132" s="26">
        <f t="shared" si="13"/>
        <v>0</v>
      </c>
      <c r="I132" s="26"/>
      <c r="J132" s="26"/>
      <c r="K132" s="26"/>
      <c r="L132" s="26">
        <f t="shared" si="12"/>
        <v>0</v>
      </c>
      <c r="M132" s="26">
        <f>IF(OR($C$5=$CB$16,$C$5=$CC$16),N132*1.05,N132)</f>
        <v>10303.91209417143</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3">
      <c r="B133" s="26"/>
      <c r="C133" s="26"/>
      <c r="D133" s="26"/>
      <c r="E133" s="26"/>
      <c r="F133" s="26"/>
      <c r="G133" s="26"/>
      <c r="H133" s="26"/>
      <c r="I133" s="26"/>
      <c r="J133" s="26"/>
      <c r="K133" s="26"/>
      <c r="L133" s="26"/>
      <c r="M133" s="26">
        <f>M132*1.0375</f>
        <v>10690.308797702859</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3">
      <c r="B134" s="26" t="s">
        <v>41</v>
      </c>
      <c r="C134" s="26">
        <v>35</v>
      </c>
      <c r="D134" s="26">
        <f>IFERROR(T29,0%)</f>
        <v>0</v>
      </c>
      <c r="E134" s="26" t="s">
        <v>474</v>
      </c>
      <c r="F134" s="26"/>
      <c r="G134" s="26"/>
      <c r="H134" s="26"/>
      <c r="I134" s="26"/>
      <c r="J134" s="26"/>
      <c r="K134" s="26"/>
      <c r="L134" s="26"/>
      <c r="M134" s="26">
        <f>IF(OR($C$5=$CB$16,$C$5=$CC$16),N134*1.05,N134)</f>
        <v>11179.744622176002</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3">
      <c r="B135" s="26" t="s">
        <v>40</v>
      </c>
      <c r="C135" s="26">
        <v>0</v>
      </c>
      <c r="D135" s="26">
        <f>IFERROR(T30,0%)</f>
        <v>0</v>
      </c>
      <c r="E135" s="26" t="s">
        <v>475</v>
      </c>
      <c r="F135" s="26"/>
      <c r="G135" s="26"/>
      <c r="H135" s="26"/>
      <c r="I135" s="26"/>
      <c r="J135" s="26"/>
      <c r="K135" s="26"/>
      <c r="L135" s="26"/>
      <c r="M135" s="26">
        <f>M134*1.0375</f>
        <v>11598.985045507603</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3">
      <c r="B136" s="26"/>
      <c r="C136" s="26"/>
      <c r="D136" s="26"/>
      <c r="E136" s="26"/>
      <c r="F136" s="26"/>
      <c r="G136" s="26"/>
      <c r="H136" s="26"/>
      <c r="I136" s="26"/>
      <c r="J136" s="26"/>
      <c r="K136" s="26"/>
      <c r="L136" s="26"/>
      <c r="M136" s="26">
        <f>IF(OR($C$5=$CB$16,$C$5=$CC$16),N136*1.05,N136)</f>
        <v>12130.022915060959</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3">
      <c r="B137" s="26"/>
      <c r="C137" s="26"/>
      <c r="D137" s="26"/>
      <c r="E137" s="26"/>
      <c r="F137" s="26"/>
      <c r="G137" s="26"/>
      <c r="H137" s="26" t="s">
        <v>476</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3">
      <c r="B138" s="26"/>
      <c r="C138" s="26"/>
      <c r="D138" s="26"/>
      <c r="E138" s="26"/>
      <c r="F138" s="26"/>
      <c r="G138" s="26"/>
      <c r="H138" s="26" t="s">
        <v>477</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3">
      <c r="B139" s="26" t="s">
        <v>478</v>
      </c>
      <c r="C139" s="26"/>
      <c r="D139" s="26"/>
      <c r="E139" s="26"/>
      <c r="F139" s="26"/>
      <c r="G139" s="26"/>
      <c r="H139" s="26" t="s">
        <v>479</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3">
      <c r="B140" s="26" t="s">
        <v>480</v>
      </c>
      <c r="C140" s="26" t="s">
        <v>481</v>
      </c>
      <c r="D140" s="26" t="s">
        <v>482</v>
      </c>
      <c r="E140" s="26" t="s">
        <v>483</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3">
      <c r="B141" s="26" t="s">
        <v>484</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3">
      <c r="B142" s="26" t="s">
        <v>485</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3">
      <c r="B143" s="26" t="s">
        <v>486</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3">
      <c r="B144" s="26" t="s">
        <v>487</v>
      </c>
      <c r="C144" s="26">
        <v>0.27</v>
      </c>
      <c r="D144" s="26">
        <v>0.37</v>
      </c>
      <c r="E144" s="26">
        <f>C144+12.5%</f>
        <v>0.39500000000000002</v>
      </c>
      <c r="F144" s="26">
        <f>IF(C14&gt;0,30*C9-3,30*C9)</f>
        <v>48.300000000000004</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3">
      <c r="B145" s="26" t="s">
        <v>488</v>
      </c>
      <c r="C145" s="26">
        <v>0.16</v>
      </c>
      <c r="D145" s="26"/>
      <c r="E145" s="26" t="s">
        <v>489</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3">
      <c r="B146" s="26" t="s">
        <v>8</v>
      </c>
      <c r="C146" s="26" t="s">
        <v>28</v>
      </c>
      <c r="D146" s="26"/>
      <c r="E146" s="26" t="s">
        <v>490</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3">
      <c r="B147" s="26"/>
      <c r="C147" s="26"/>
      <c r="D147" s="26"/>
      <c r="E147" s="26"/>
      <c r="F147" s="26" t="s">
        <v>491</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3">
      <c r="B148" s="26"/>
      <c r="C148" s="26"/>
      <c r="D148" s="26"/>
      <c r="E148" s="26" t="s">
        <v>8</v>
      </c>
      <c r="F148" s="26" t="s">
        <v>492</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3">
      <c r="B149" s="26" t="s">
        <v>8</v>
      </c>
      <c r="C149" s="26"/>
      <c r="D149" s="26"/>
      <c r="E149" s="26" t="s">
        <v>27</v>
      </c>
      <c r="F149" s="26"/>
      <c r="G149" s="26" t="s">
        <v>438</v>
      </c>
      <c r="H149" s="26" t="s">
        <v>493</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3">
      <c r="B150" s="26" t="s">
        <v>71</v>
      </c>
      <c r="C150" s="26">
        <v>156.88</v>
      </c>
      <c r="D150" s="26" t="s">
        <v>74</v>
      </c>
      <c r="E150" s="26"/>
      <c r="F150" s="26"/>
      <c r="G150" s="26" t="s">
        <v>439</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3">
      <c r="B151" s="26" t="s">
        <v>452</v>
      </c>
      <c r="C151" s="26">
        <v>174.47</v>
      </c>
      <c r="D151" s="26" t="s">
        <v>210</v>
      </c>
      <c r="E151" s="26" t="e">
        <f>(VLOOKUP($I$32,O45:P61,2,0))</f>
        <v>#N/A</v>
      </c>
      <c r="F151" s="26"/>
      <c r="G151" s="26" t="s">
        <v>494</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3">
      <c r="B152" s="26">
        <v>0</v>
      </c>
      <c r="C152" s="26"/>
      <c r="D152" s="26" t="s">
        <v>250</v>
      </c>
      <c r="E152" s="26">
        <v>1</v>
      </c>
      <c r="F152" s="26"/>
      <c r="G152" s="26"/>
      <c r="H152" s="26" t="s">
        <v>495</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3">
      <c r="B153" s="26">
        <v>0.16</v>
      </c>
      <c r="C153" s="26"/>
      <c r="D153" s="26"/>
      <c r="E153" s="26">
        <v>2</v>
      </c>
      <c r="F153" s="26"/>
      <c r="G153" s="26" t="s">
        <v>278</v>
      </c>
      <c r="H153" s="26">
        <f>AA35/12</f>
        <v>0</v>
      </c>
      <c r="I153" s="26" t="s">
        <v>496</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3">
      <c r="B154" s="26" t="s">
        <v>497</v>
      </c>
      <c r="C154" s="26"/>
      <c r="D154" s="26">
        <v>5571</v>
      </c>
      <c r="E154" s="26"/>
      <c r="F154" s="26">
        <v>0</v>
      </c>
      <c r="G154" s="26">
        <v>1</v>
      </c>
      <c r="H154" s="26">
        <f>IF(ABS(BG61-AP31+AY29)&lt;0.26,0,BG61-AP31+AY29)</f>
        <v>112.67</v>
      </c>
      <c r="I154" s="26" t="s">
        <v>59</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3">
      <c r="B155" s="26" t="s">
        <v>498</v>
      </c>
      <c r="C155" s="26" t="s">
        <v>71</v>
      </c>
      <c r="D155" s="26" t="e">
        <f>(VLOOKUP($I$32,R45:S61,2,0))</f>
        <v>#N/A</v>
      </c>
      <c r="E155" s="26"/>
      <c r="F155" s="26">
        <v>0</v>
      </c>
      <c r="G155" s="26">
        <v>1.5</v>
      </c>
      <c r="H155" s="26">
        <f>(ROUND((ROUND((AK25-AQ22)/365.25,4))*12,2)/12)</f>
        <v>32.415833333333332</v>
      </c>
      <c r="I155" s="26" t="s">
        <v>59</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3">
      <c r="B156" s="26">
        <v>0.24</v>
      </c>
      <c r="C156" s="26"/>
      <c r="D156" s="26"/>
      <c r="E156" s="26"/>
      <c r="F156" s="26">
        <v>6</v>
      </c>
      <c r="G156" s="26">
        <v>2</v>
      </c>
      <c r="H156" s="26">
        <f>AK23/12</f>
        <v>32.416666666666664</v>
      </c>
      <c r="I156" s="26" t="s">
        <v>59</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3">
      <c r="B157" s="26">
        <v>0.27</v>
      </c>
      <c r="C157" s="26"/>
      <c r="D157" s="26" t="s">
        <v>28</v>
      </c>
      <c r="E157" s="26"/>
      <c r="F157" s="26"/>
      <c r="G157" s="26">
        <v>2.5</v>
      </c>
      <c r="H157" s="26">
        <f>AK24</f>
        <v>0.59709999999999996</v>
      </c>
      <c r="I157" s="26" t="s">
        <v>59</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3">
      <c r="B158" s="26">
        <v>0.3</v>
      </c>
      <c r="C158" s="26"/>
      <c r="D158" s="26" t="s">
        <v>29</v>
      </c>
      <c r="E158" s="26"/>
      <c r="F158" s="26">
        <v>0</v>
      </c>
      <c r="G158" s="26">
        <v>3</v>
      </c>
      <c r="H158" s="26">
        <f>F158</f>
        <v>0</v>
      </c>
      <c r="I158" s="26" t="s">
        <v>499</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3">
      <c r="B159" s="26">
        <v>0.34</v>
      </c>
      <c r="C159" s="26"/>
      <c r="D159" s="26" t="s">
        <v>500</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3">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3">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3">
      <c r="B162" s="26">
        <v>0.32500000000000001</v>
      </c>
      <c r="C162" s="26" t="s">
        <v>501</v>
      </c>
      <c r="D162" s="26">
        <v>5</v>
      </c>
      <c r="E162" s="26"/>
      <c r="F162" s="26"/>
      <c r="G162" s="26">
        <v>5</v>
      </c>
      <c r="H162" s="26" t="s">
        <v>502</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3">
      <c r="B163" s="26">
        <v>0.36499999999999999</v>
      </c>
      <c r="C163" s="26"/>
      <c r="D163" s="26"/>
      <c r="E163" s="26"/>
      <c r="F163" s="26"/>
      <c r="G163" s="26">
        <v>5.5</v>
      </c>
      <c r="H163" s="26" t="s">
        <v>503</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3">
      <c r="B164" s="26">
        <v>0.39500000000000002</v>
      </c>
      <c r="C164" s="26"/>
      <c r="D164" s="26"/>
      <c r="E164" s="26"/>
      <c r="F164" s="26"/>
      <c r="G164" s="26">
        <v>6</v>
      </c>
      <c r="H164" s="26" t="s">
        <v>504</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3">
      <c r="B165" s="26"/>
      <c r="C165" s="26" t="s">
        <v>505</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3">
      <c r="B166" s="26"/>
      <c r="C166" s="26" t="s">
        <v>506</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3">
      <c r="B167" s="26">
        <v>0</v>
      </c>
      <c r="C167" s="26" t="s">
        <v>507</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3">
      <c r="B168" s="26">
        <v>0</v>
      </c>
      <c r="C168" s="26" t="s">
        <v>508</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3">
      <c r="B169" s="26" t="s">
        <v>71</v>
      </c>
      <c r="C169" s="26" t="s">
        <v>509</v>
      </c>
      <c r="D169" s="26"/>
      <c r="E169" s="26"/>
      <c r="F169" s="26"/>
      <c r="G169" s="26">
        <v>8.5</v>
      </c>
      <c r="H169" s="26"/>
      <c r="I169" s="26"/>
      <c r="J169" s="26"/>
      <c r="K169" s="26">
        <v>7</v>
      </c>
      <c r="L169" s="26"/>
      <c r="M169" s="26" t="str">
        <f t="shared" si="14"/>
        <v xml:space="preserve">22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3">
      <c r="B170" s="26"/>
      <c r="C170" s="26" t="s">
        <v>510</v>
      </c>
      <c r="D170" s="26"/>
      <c r="E170" s="26"/>
      <c r="F170" s="26"/>
      <c r="G170" s="26">
        <v>9</v>
      </c>
      <c r="H170" s="26" t="s">
        <v>59</v>
      </c>
      <c r="I170" s="26"/>
      <c r="J170" s="26"/>
      <c r="K170" s="26">
        <v>7.5</v>
      </c>
      <c r="L170" s="26"/>
      <c r="M170" s="26">
        <f t="shared" si="14"/>
        <v>8236.8740213838755</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3">
      <c r="B171" s="26"/>
      <c r="C171" s="26" t="s">
        <v>511</v>
      </c>
      <c r="D171" s="26"/>
      <c r="E171" s="26"/>
      <c r="F171" s="26"/>
      <c r="G171" s="26"/>
      <c r="H171" s="26"/>
      <c r="I171" s="26"/>
      <c r="J171" s="26"/>
      <c r="K171" s="26">
        <v>8</v>
      </c>
      <c r="L171" s="26"/>
      <c r="M171" s="26">
        <f t="shared" si="14"/>
        <v>8545.7567971857716</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3">
      <c r="B172" s="26" t="s">
        <v>512</v>
      </c>
      <c r="C172" s="26">
        <v>0</v>
      </c>
      <c r="D172" s="26"/>
      <c r="E172" s="26"/>
      <c r="F172" s="26"/>
      <c r="G172" s="26"/>
      <c r="H172" s="26"/>
      <c r="I172" s="26"/>
      <c r="J172" s="26"/>
      <c r="K172" s="26">
        <v>8.5</v>
      </c>
      <c r="L172" s="26"/>
      <c r="M172" s="26">
        <f t="shared" si="14"/>
        <v>8854.6395729876658</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3">
      <c r="B173" s="26" t="s">
        <v>59</v>
      </c>
      <c r="C173" s="26"/>
      <c r="D173" s="26"/>
      <c r="E173" s="26"/>
      <c r="F173" s="26" t="s">
        <v>198</v>
      </c>
      <c r="G173" s="26"/>
      <c r="H173" s="26" t="s">
        <v>513</v>
      </c>
      <c r="I173" s="26">
        <f>DATE(YEAR(J4),MONTH(J4)-MONTH(J4)+1,DAY(J4)-DAY(J4)+1)</f>
        <v>1</v>
      </c>
      <c r="J173" s="26"/>
      <c r="K173" s="26">
        <v>9</v>
      </c>
      <c r="L173" s="26"/>
      <c r="M173" s="26">
        <f t="shared" si="14"/>
        <v>9186.6885569747046</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3">
      <c r="B174" s="26"/>
      <c r="C174" s="26"/>
      <c r="D174" s="26"/>
      <c r="E174" s="26"/>
      <c r="F174" s="26"/>
      <c r="G174" s="26"/>
      <c r="H174" s="26"/>
      <c r="I174" s="26"/>
      <c r="J174" s="26"/>
      <c r="K174" s="26"/>
      <c r="L174" s="26"/>
      <c r="M174" s="26">
        <f t="shared" si="14"/>
        <v>9518.7375409617398</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3">
      <c r="B175" s="26"/>
      <c r="C175" s="26"/>
      <c r="D175" s="26"/>
      <c r="E175" s="26"/>
      <c r="F175" s="26" t="s">
        <v>514</v>
      </c>
      <c r="G175" s="26"/>
      <c r="H175" s="26"/>
      <c r="I175" s="26"/>
      <c r="J175" s="26">
        <f>IF(H192-AE13&lt;3,0,IF(H192-AE13&lt;6,1,IF(H192-AE13&lt;9,2,IF(H192-AE13&lt;12,I167+3,IF(H192-AE13&lt;13,I167+4,IF(H192-AE13&lt;16,I167+5,IF(H192-AE13&lt;19,I167+6,IF(H192-AE13&lt;22,I167+7))))))))</f>
        <v>0</v>
      </c>
      <c r="K175" s="26"/>
      <c r="L175" s="26"/>
      <c r="M175" s="26">
        <f t="shared" si="14"/>
        <v>9875.6901987478068</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3">
      <c r="B176" s="26"/>
      <c r="C176" s="26" t="s">
        <v>515</v>
      </c>
      <c r="D176" s="26"/>
      <c r="E176" s="26"/>
      <c r="F176" s="26"/>
      <c r="G176" s="26"/>
      <c r="H176" s="26"/>
      <c r="I176" s="26"/>
      <c r="J176" s="26"/>
      <c r="K176" s="26"/>
      <c r="L176" s="26"/>
      <c r="M176" s="26">
        <f t="shared" si="14"/>
        <v>10232.64285653387</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3">
      <c r="B177" s="26"/>
      <c r="C177" s="26" t="s">
        <v>516</v>
      </c>
      <c r="D177" s="26" t="s">
        <v>59</v>
      </c>
      <c r="E177" s="26"/>
      <c r="F177" s="26"/>
      <c r="G177" s="26" t="str">
        <f>AB32</f>
        <v>תקציבית</v>
      </c>
      <c r="H177" s="26"/>
      <c r="I177" s="26" t="e">
        <f>F205</f>
        <v>#REF!</v>
      </c>
      <c r="J177" s="26"/>
      <c r="K177" s="26"/>
      <c r="L177" s="26"/>
      <c r="M177" s="26">
        <f t="shared" si="14"/>
        <v>10616.366963653891</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3">
      <c r="B178" s="26"/>
      <c r="C178" s="26" t="s">
        <v>517</v>
      </c>
      <c r="D178" s="26" t="s">
        <v>518</v>
      </c>
      <c r="E178" s="26"/>
      <c r="F178" s="26" t="s">
        <v>519</v>
      </c>
      <c r="G178" s="26">
        <f>67</f>
        <v>67</v>
      </c>
      <c r="H178" s="26"/>
      <c r="I178" s="26"/>
      <c r="J178" s="26"/>
      <c r="K178" s="26"/>
      <c r="L178" s="26"/>
      <c r="M178" s="26">
        <f t="shared" si="14"/>
        <v>11000.091070773909</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3">
      <c r="B179" s="26"/>
      <c r="C179" s="26" t="s">
        <v>477</v>
      </c>
      <c r="D179" s="26" t="s">
        <v>520</v>
      </c>
      <c r="E179" s="26"/>
      <c r="F179" s="26" t="s">
        <v>521</v>
      </c>
      <c r="G179" s="26" t="e">
        <f>#REF!</f>
        <v>#REF!</v>
      </c>
      <c r="H179" s="26"/>
      <c r="I179" s="26" t="s">
        <v>59</v>
      </c>
      <c r="J179" s="26"/>
      <c r="K179" s="26"/>
      <c r="L179" s="26"/>
      <c r="M179" s="26">
        <f t="shared" si="14"/>
        <v>11412.594485927932</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3">
      <c r="B180" s="26"/>
      <c r="C180" s="26" t="s">
        <v>522</v>
      </c>
      <c r="D180" s="26" t="s">
        <v>476</v>
      </c>
      <c r="E180" s="26"/>
      <c r="F180" s="26" t="s">
        <v>523</v>
      </c>
      <c r="G180" s="26">
        <f>G202</f>
        <v>52.87</v>
      </c>
      <c r="H180" s="26"/>
      <c r="I180" s="26" t="s">
        <v>59</v>
      </c>
      <c r="J180" s="26"/>
      <c r="K180" s="26"/>
      <c r="L180" s="26"/>
      <c r="M180" s="26">
        <f t="shared" si="14"/>
        <v>11825.097901081952</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3">
      <c r="B181" s="26"/>
      <c r="C181" s="26" t="s">
        <v>524</v>
      </c>
      <c r="D181" s="26" t="s">
        <v>525</v>
      </c>
      <c r="E181" s="26"/>
      <c r="F181" s="26"/>
      <c r="G181" s="26" t="s">
        <v>526</v>
      </c>
      <c r="H181" s="26"/>
      <c r="I181" s="26"/>
      <c r="J181" s="26"/>
      <c r="K181" s="26"/>
      <c r="L181" s="26"/>
      <c r="M181" s="26">
        <f t="shared" si="14"/>
        <v>12327.664561877935</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3">
      <c r="B182" s="26"/>
      <c r="C182" s="26" t="s">
        <v>527</v>
      </c>
      <c r="D182" s="26" t="s">
        <v>528</v>
      </c>
      <c r="E182" s="26"/>
      <c r="F182" s="26" t="e">
        <f>#REF!/#REF!*F187</f>
        <v>#REF!</v>
      </c>
      <c r="G182" s="26" t="str">
        <f>IF(H154&gt;0.26,"שנות ותק נגרר",IF(H154&lt;0.26,"תקופת חלת"))</f>
        <v>שנות ותק נגרר</v>
      </c>
      <c r="H182" s="26"/>
      <c r="I182" s="26"/>
      <c r="J182" s="26"/>
      <c r="K182" s="26"/>
      <c r="L182" s="26"/>
      <c r="M182" s="26">
        <f t="shared" si="14"/>
        <v>12830.231222673918</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3">
      <c r="B183" s="26"/>
      <c r="C183" s="26" t="s">
        <v>529</v>
      </c>
      <c r="D183" s="26" t="s">
        <v>479</v>
      </c>
      <c r="E183" s="26"/>
      <c r="F183" s="26" t="e">
        <f>#REF!/#REF!*F187</f>
        <v>#REF!</v>
      </c>
      <c r="G183" s="26" t="s">
        <v>530</v>
      </c>
      <c r="H183" s="26"/>
      <c r="I183" s="26"/>
      <c r="J183" s="26" t="s">
        <v>59</v>
      </c>
      <c r="K183" s="26"/>
      <c r="L183" s="26"/>
      <c r="M183" s="26">
        <f t="shared" si="14"/>
        <v>13375.516049637559</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3">
      <c r="B184" s="26"/>
      <c r="C184" s="26" t="s">
        <v>531</v>
      </c>
      <c r="D184" s="26"/>
      <c r="E184" s="26"/>
      <c r="F184" s="26" t="e">
        <f>#REF!/#REF!*F187</f>
        <v>#REF!</v>
      </c>
      <c r="G184" s="26" t="s">
        <v>532</v>
      </c>
      <c r="H184" s="26"/>
      <c r="I184" s="26"/>
      <c r="J184" s="26"/>
      <c r="K184" s="26"/>
      <c r="L184" s="26"/>
      <c r="M184" s="26">
        <f t="shared" si="14"/>
        <v>13920.800876601201</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3">
      <c r="B185" s="26"/>
      <c r="C185" s="26"/>
      <c r="D185" s="26" t="s">
        <v>533</v>
      </c>
      <c r="E185" s="26"/>
      <c r="F185" s="26" t="e">
        <f>#REF!/#REF!*F187</f>
        <v>#REF!</v>
      </c>
      <c r="G185" s="26" t="s">
        <v>534</v>
      </c>
      <c r="H185" s="26"/>
      <c r="I185" s="26"/>
      <c r="J185" s="26"/>
      <c r="K185" s="26"/>
      <c r="L185" s="26"/>
      <c r="M185" s="26">
        <f t="shared" si="14"/>
        <v>14512.434913856752</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3">
      <c r="B186" s="26" t="s">
        <v>535</v>
      </c>
      <c r="C186" s="26" t="str">
        <f>C5</f>
        <v>מ"א</v>
      </c>
      <c r="D186" s="26"/>
      <c r="E186" s="26"/>
      <c r="F186" s="26" t="e">
        <f>#REF!/#REF!*F187</f>
        <v>#REF!</v>
      </c>
      <c r="G186" s="26" t="s">
        <v>536</v>
      </c>
      <c r="H186" s="26"/>
      <c r="I186" s="26"/>
      <c r="J186" s="26"/>
      <c r="K186" s="26"/>
      <c r="L186" s="26"/>
      <c r="M186" s="26">
        <f t="shared" si="14"/>
        <v>15104.068951112302</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3">
      <c r="B187" s="26"/>
      <c r="C187" s="26"/>
      <c r="D187" s="26"/>
      <c r="E187" s="26"/>
      <c r="F187" s="26" t="e">
        <f>#REF!</f>
        <v>#REF!</v>
      </c>
      <c r="G187" s="26" t="s">
        <v>537</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3">
      <c r="B188" s="26"/>
      <c r="C188" s="26"/>
      <c r="D188" s="26"/>
      <c r="E188" s="26"/>
      <c r="F188" s="26" t="e">
        <f>F187-#REF!</f>
        <v>#REF!</v>
      </c>
      <c r="G188" s="26" t="s">
        <v>538</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3">
      <c r="B189" s="26"/>
      <c r="C189" s="26"/>
      <c r="D189" s="26"/>
      <c r="E189" s="26"/>
      <c r="F189" s="26" t="e">
        <f>#REF!</f>
        <v>#REF!</v>
      </c>
      <c r="G189" s="26" t="s">
        <v>539</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3">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3">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3">
      <c r="B192" s="26"/>
      <c r="C192" s="26"/>
      <c r="D192" s="26"/>
      <c r="E192" s="26"/>
      <c r="F192" s="26"/>
      <c r="G192" s="26" t="s">
        <v>540</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3">
      <c r="B193" s="26" t="s">
        <v>541</v>
      </c>
      <c r="C193" s="26" t="s">
        <v>542</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3">
      <c r="B194" s="26" t="e">
        <f>#REF!</f>
        <v>#REF!</v>
      </c>
      <c r="C194" s="26" t="s">
        <v>543</v>
      </c>
      <c r="D194" s="26" t="s">
        <v>59</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3">
      <c r="B195" s="26" t="e">
        <f>#REF!</f>
        <v>#REF!</v>
      </c>
      <c r="C195" s="26" t="s">
        <v>544</v>
      </c>
      <c r="D195" s="26" t="s">
        <v>59</v>
      </c>
      <c r="E195" s="26"/>
      <c r="F195" s="26"/>
      <c r="G195" s="26" t="s">
        <v>545</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3">
      <c r="B196" s="26" t="e">
        <f>#REF!</f>
        <v>#REF!</v>
      </c>
      <c r="C196" s="26" t="s">
        <v>546</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3">
      <c r="B197" s="26" t="e">
        <f>#REF!</f>
        <v>#REF!</v>
      </c>
      <c r="C197" s="26" t="s">
        <v>547</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3">
      <c r="B198" s="26" t="e">
        <f>#REF!</f>
        <v>#REF!</v>
      </c>
      <c r="C198" s="26" t="s">
        <v>548</v>
      </c>
      <c r="D198" s="26" t="e">
        <f>IF(#REF!=0,#REF!,TRUNC(#REF!,2)&amp; "  :מספר משכורות")</f>
        <v>#REF!</v>
      </c>
      <c r="E198" s="26"/>
      <c r="F198" s="26" t="s">
        <v>59</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3">
      <c r="B199" s="26" t="e">
        <f>SUM(B194:B198)</f>
        <v>#REF!</v>
      </c>
      <c r="C199" s="26" t="s">
        <v>549</v>
      </c>
      <c r="D199" s="26" t="s">
        <v>550</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3">
      <c r="B200" s="26"/>
      <c r="C200" s="26" t="s">
        <v>551</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3">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3">
      <c r="B202" s="26" t="e">
        <f>#REF!</f>
        <v>#REF!</v>
      </c>
      <c r="C202" s="26" t="s">
        <v>552</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3">
      <c r="B203" s="26"/>
      <c r="C203" s="26" t="s">
        <v>553</v>
      </c>
      <c r="D203" s="26"/>
      <c r="E203" s="26"/>
      <c r="F203" s="26" t="s">
        <v>554</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3">
      <c r="B204" s="26"/>
      <c r="C204" s="26" t="s">
        <v>555</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3">
      <c r="B205" s="26" t="s">
        <v>556</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3">
      <c r="B206" s="26" t="s">
        <v>557</v>
      </c>
      <c r="C206" s="26"/>
      <c r="D206" s="26"/>
      <c r="E206" s="26"/>
      <c r="F206" s="26">
        <v>0</v>
      </c>
      <c r="G206" s="26"/>
      <c r="H206" s="26"/>
      <c r="I206" s="26" t="s">
        <v>62</v>
      </c>
      <c r="J206" s="26" t="s">
        <v>558</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3">
      <c r="B207" s="26"/>
      <c r="C207" s="26" t="s">
        <v>559</v>
      </c>
      <c r="D207" s="26"/>
      <c r="E207" s="26"/>
      <c r="F207" s="26">
        <v>0</v>
      </c>
      <c r="G207" s="26"/>
      <c r="H207" s="26"/>
      <c r="I207" s="26">
        <f t="shared" ref="I207:I223" si="16">L207</f>
        <v>1</v>
      </c>
      <c r="J207" s="26">
        <f>M170*0.95</f>
        <v>7825.0303203146814</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3">
      <c r="B208" s="26" t="s">
        <v>59</v>
      </c>
      <c r="C208" s="26" t="s">
        <v>560</v>
      </c>
      <c r="D208" s="26"/>
      <c r="E208" s="26"/>
      <c r="F208" s="26">
        <v>0</v>
      </c>
      <c r="G208" s="26"/>
      <c r="H208" s="26"/>
      <c r="I208" s="26">
        <f t="shared" si="16"/>
        <v>1.5</v>
      </c>
      <c r="J208" s="26">
        <f t="shared" ref="J208:J223" si="17">M171*0.95</f>
        <v>8118.4689573264823</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3">
      <c r="B209" s="26"/>
      <c r="C209" s="26"/>
      <c r="D209" s="26"/>
      <c r="E209" s="26"/>
      <c r="F209" s="26">
        <v>0</v>
      </c>
      <c r="G209" s="26"/>
      <c r="H209" s="26"/>
      <c r="I209" s="26">
        <f t="shared" si="16"/>
        <v>2</v>
      </c>
      <c r="J209" s="26">
        <f t="shared" si="17"/>
        <v>8411.9075943382813</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3">
      <c r="B210" s="26"/>
      <c r="C210" s="26"/>
      <c r="D210" s="26"/>
      <c r="E210" s="26"/>
      <c r="F210" s="26">
        <f>BG73</f>
        <v>0</v>
      </c>
      <c r="G210" s="26"/>
      <c r="H210" s="26"/>
      <c r="I210" s="26">
        <f t="shared" si="16"/>
        <v>2.5</v>
      </c>
      <c r="J210" s="26">
        <f t="shared" si="17"/>
        <v>8727.3541291259698</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3">
      <c r="B211" s="26"/>
      <c r="C211" s="26"/>
      <c r="D211" s="26"/>
      <c r="E211" s="26"/>
      <c r="F211" s="26">
        <f>IF(BG65=X6,0,IF(BG65=X7,10%*P96,IF(BG65=X8,20%*P96,IF(BG65=X9,11.5%*P96,6%*P96))))</f>
        <v>0</v>
      </c>
      <c r="G211" s="26" t="s">
        <v>59</v>
      </c>
      <c r="H211" s="26"/>
      <c r="I211" s="26">
        <f t="shared" si="16"/>
        <v>3</v>
      </c>
      <c r="J211" s="26">
        <f t="shared" si="17"/>
        <v>9042.8006639136529</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3">
      <c r="B212" s="26"/>
      <c r="C212" s="26"/>
      <c r="D212" s="26"/>
      <c r="E212" s="26"/>
      <c r="F212" s="26">
        <f>BG66</f>
        <v>0</v>
      </c>
      <c r="G212" s="26"/>
      <c r="H212" s="26"/>
      <c r="I212" s="26">
        <f t="shared" si="16"/>
        <v>3.5</v>
      </c>
      <c r="J212" s="26">
        <f t="shared" si="17"/>
        <v>9381.9056888104169</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3">
      <c r="B213" s="26"/>
      <c r="C213" s="26"/>
      <c r="D213" s="26"/>
      <c r="E213" s="26"/>
      <c r="F213" s="26">
        <f>AD11*P96</f>
        <v>0</v>
      </c>
      <c r="G213" s="26"/>
      <c r="H213" s="26"/>
      <c r="I213" s="26">
        <f t="shared" si="16"/>
        <v>4</v>
      </c>
      <c r="J213" s="26">
        <f t="shared" si="17"/>
        <v>9721.0107137071755</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3">
      <c r="B214" s="26" t="s">
        <v>545</v>
      </c>
      <c r="C214" s="26"/>
      <c r="D214" s="26"/>
      <c r="E214" s="26"/>
      <c r="F214" s="26" t="e">
        <f>SUM(F205:F208)*BG68</f>
        <v>#REF!</v>
      </c>
      <c r="G214" s="26"/>
      <c r="H214" s="26"/>
      <c r="I214" s="26">
        <f t="shared" si="16"/>
        <v>4.5</v>
      </c>
      <c r="J214" s="26">
        <f t="shared" si="17"/>
        <v>10085.548615471196</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3">
      <c r="B215" s="26"/>
      <c r="C215" s="26"/>
      <c r="D215" s="26"/>
      <c r="E215" s="26"/>
      <c r="F215" s="26" t="e">
        <f>J187*F214</f>
        <v>#REF!</v>
      </c>
      <c r="G215" s="26" t="s">
        <v>59</v>
      </c>
      <c r="H215" s="26"/>
      <c r="I215" s="26">
        <f t="shared" si="16"/>
        <v>5</v>
      </c>
      <c r="J215" s="26">
        <f t="shared" si="17"/>
        <v>10450.086517235213</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3">
      <c r="B216" s="26"/>
      <c r="C216" s="26"/>
      <c r="D216" s="26"/>
      <c r="E216" s="26"/>
      <c r="F216" s="26" t="e">
        <f>J188*F205</f>
        <v>#REF!</v>
      </c>
      <c r="G216" s="26"/>
      <c r="H216" s="26"/>
      <c r="I216" s="26">
        <f t="shared" si="16"/>
        <v>5.5</v>
      </c>
      <c r="J216" s="26">
        <f t="shared" si="17"/>
        <v>10841.964761631534</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3">
      <c r="B217" s="26"/>
      <c r="C217" s="26"/>
      <c r="D217" s="26"/>
      <c r="E217" s="26"/>
      <c r="F217" s="26" t="e">
        <f>SUM(F205:F208)*AB29</f>
        <v>#REF!</v>
      </c>
      <c r="G217" s="26"/>
      <c r="H217" s="26"/>
      <c r="I217" s="26">
        <f t="shared" si="16"/>
        <v>6</v>
      </c>
      <c r="J217" s="26">
        <f t="shared" si="17"/>
        <v>11233.843006027853</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3">
      <c r="B218" s="26"/>
      <c r="C218" s="26"/>
      <c r="D218" s="26"/>
      <c r="E218" s="26"/>
      <c r="F218" s="26" t="e">
        <f>F205*BG72</f>
        <v>#REF!</v>
      </c>
      <c r="G218" s="26"/>
      <c r="H218" s="26"/>
      <c r="I218" s="26">
        <f t="shared" si="16"/>
        <v>6.5</v>
      </c>
      <c r="J218" s="26">
        <f t="shared" si="17"/>
        <v>11711.281333784038</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3">
      <c r="B219" s="26"/>
      <c r="C219" s="26"/>
      <c r="D219" s="26"/>
      <c r="E219" s="26"/>
      <c r="F219" s="26" t="e">
        <f>SUM(F205:F208)*BG64</f>
        <v>#REF!</v>
      </c>
      <c r="G219" s="26"/>
      <c r="H219" s="26"/>
      <c r="I219" s="26">
        <f t="shared" si="16"/>
        <v>7</v>
      </c>
      <c r="J219" s="26">
        <f t="shared" si="17"/>
        <v>12188.719661540221</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3">
      <c r="B220" s="26"/>
      <c r="C220" s="26"/>
      <c r="D220" s="26"/>
      <c r="E220" s="26"/>
      <c r="F220" s="26">
        <v>0</v>
      </c>
      <c r="G220" s="26" t="s">
        <v>561</v>
      </c>
      <c r="H220" s="26"/>
      <c r="I220" s="26">
        <f t="shared" si="16"/>
        <v>7.5</v>
      </c>
      <c r="J220" s="26">
        <f t="shared" si="17"/>
        <v>12706.740247155682</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3">
      <c r="B221" s="26"/>
      <c r="C221" s="26"/>
      <c r="D221" s="26"/>
      <c r="E221" s="26"/>
      <c r="F221" s="26">
        <v>0</v>
      </c>
      <c r="G221" s="26" t="s">
        <v>562</v>
      </c>
      <c r="H221" s="26"/>
      <c r="I221" s="26">
        <f t="shared" si="16"/>
        <v>8</v>
      </c>
      <c r="J221" s="26">
        <f t="shared" si="17"/>
        <v>13224.76083277114</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3">
      <c r="B222" s="26"/>
      <c r="C222" s="26" t="str">
        <f>BF73</f>
        <v>תוספת ערבה</v>
      </c>
      <c r="D222" s="26">
        <f>AB39</f>
        <v>0</v>
      </c>
      <c r="E222" s="26"/>
      <c r="F222" s="26" t="e">
        <f>SUM(F205:F221)</f>
        <v>#REF!</v>
      </c>
      <c r="G222" s="26"/>
      <c r="H222" s="26"/>
      <c r="I222" s="26">
        <f t="shared" si="16"/>
        <v>8.5</v>
      </c>
      <c r="J222" s="26">
        <f t="shared" si="17"/>
        <v>13786.813168163913</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3">
      <c r="B223" s="26"/>
      <c r="C223" s="26"/>
      <c r="D223" s="26"/>
      <c r="E223" s="26"/>
      <c r="F223" s="26"/>
      <c r="G223" s="26"/>
      <c r="H223" s="26"/>
      <c r="I223" s="26">
        <f t="shared" si="16"/>
        <v>9</v>
      </c>
      <c r="J223" s="26">
        <f t="shared" si="17"/>
        <v>14348.865503556686</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3">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3">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3">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3">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3">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3">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3">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3">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3">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3">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3">
      <c r="B234" s="26" t="s">
        <v>59</v>
      </c>
      <c r="C234" s="26" t="s">
        <v>563</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3">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3">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3">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3">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3">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3">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3">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3">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3">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3">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3">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3">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3">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3">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3">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3">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3">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3">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3">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3">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3">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3">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3">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3">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3">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3">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3">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3">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3">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3">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3">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3">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3">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3">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3">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3">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3">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3">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3">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3">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3">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3">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3">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3">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3">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3">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3">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3">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3">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3">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3">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3">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3">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3">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3">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3">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3">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3">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3">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3">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3">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3">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3">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3">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3">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3">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3">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3">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3">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3">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3">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3">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3">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3">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3">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3">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3">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3">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3">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3">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3">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3">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3">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3">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3">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3">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3">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3">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3">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3">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3">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3">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3">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3">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3">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3">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3">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3">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3">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3">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3">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3">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3">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3">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3">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3">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3">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3">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3">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3">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3">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3">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3">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3">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3">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3">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3">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3">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3">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3">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3">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3">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3">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3">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3">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3">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3">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3">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3">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3">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3">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3">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3">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3">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3">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3">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3">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3">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3">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3">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3">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3">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3">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3">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3">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3">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3">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3">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3">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3">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3">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3">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3">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3">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3">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3">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3">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3">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3">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3">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3">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3">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3">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3">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3">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3">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3">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3">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3">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3">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3">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3">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3">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3">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3">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3">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3">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3">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3">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3">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3">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3">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3">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3">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3">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3">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3">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3">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3">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3">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3">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3">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3">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3">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3">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3">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3">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3">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3">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3">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3">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3">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3">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3">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3">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3">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3">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3">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3">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3">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3">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3">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3">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3">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3">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3">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3">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3">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3">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3">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3">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3">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3">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3">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3">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3">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3">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3">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3">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3">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3">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3">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3">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3">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3">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3">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3">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3">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3">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3">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3">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3">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3">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3">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3">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3">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3">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3">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3">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3">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3">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3">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3">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3">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3">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3">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3">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3">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3">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3">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3">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3">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3">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3">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3">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3">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3">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3">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3">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3">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3">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3">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3">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3">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3">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3">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3">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3">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3">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3">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3">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3">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3">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3">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3">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3">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3">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3">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3">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3">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3">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3">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3">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3">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3">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3">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3">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3">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3">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3">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3">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3">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3">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3">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3">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3">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3">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3">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3">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3">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3">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3">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3">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3">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3">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3">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3">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3">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3">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3">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3">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3">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3">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3">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3">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3">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3">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3">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3">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3">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3">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3">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3">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3">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3">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3">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3">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3">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3">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3">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3">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3">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3">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3">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3">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3">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3">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3">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3">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3">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3">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3">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3">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3">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3">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3">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3">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3">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3">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3">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3">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3">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3">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3">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3">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3">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3">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3">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3">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3">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3">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3">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3">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3">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3">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3">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3">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3">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3">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3">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3">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3">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3">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3">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3">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3">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3">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3">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3">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3">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3">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3">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3">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3">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3">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3">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3">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3">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3">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3">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3">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3">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3">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3">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3">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3">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3">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3">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3">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3">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3">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3">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3">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3">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3">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3">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3">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3">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3">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3">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3">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3">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3">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3">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3">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3">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3">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3">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3">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3">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3">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3">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3">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3">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3">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3">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3">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3">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3">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3">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3">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3">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3">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3">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3">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3">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3">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3">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3">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3">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3">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3">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3">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3">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3">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3">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3">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3">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3">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3">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3">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3">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3">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3">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3">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3">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3">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3">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3">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3">
      <c r="G704" s="26"/>
      <c r="H704" s="26"/>
      <c r="I704" s="26"/>
      <c r="J704" s="26"/>
      <c r="K704" s="26"/>
      <c r="L704" s="26"/>
      <c r="M704" s="26"/>
      <c r="N704" s="26"/>
      <c r="O704" s="26"/>
      <c r="P704" s="26"/>
      <c r="Q704" s="26"/>
      <c r="R704" s="26" t="s">
        <v>55</v>
      </c>
      <c r="S704" s="26">
        <f>IF(BB770-INT(BB770)=0.5,1,0)</f>
        <v>0</v>
      </c>
      <c r="T704" s="26">
        <f>IF(S704=0,0,IF(BB770&lt;=7,3.75,4.25))</f>
        <v>0</v>
      </c>
      <c r="U704" s="26"/>
      <c r="V704" s="26" t="s">
        <v>56</v>
      </c>
      <c r="W704" s="26"/>
      <c r="X704" s="26"/>
      <c r="Y704" s="26"/>
      <c r="Z704" s="26"/>
      <c r="AA704" s="26"/>
      <c r="AB704" s="26"/>
      <c r="AC704" s="26"/>
      <c r="AD704" s="26"/>
      <c r="AE704" s="26"/>
      <c r="AF704" s="26"/>
      <c r="AG704" s="26"/>
      <c r="AH704" s="26"/>
      <c r="AI704" s="26" t="s">
        <v>57</v>
      </c>
      <c r="AJ704" s="26"/>
      <c r="AK704" s="26"/>
      <c r="AL704" s="26"/>
      <c r="AM704" s="26"/>
      <c r="AN704" s="26"/>
      <c r="AO704" s="26"/>
      <c r="AP704" s="26"/>
      <c r="AQ704" s="26"/>
      <c r="AR704" s="26"/>
      <c r="AS704" s="26"/>
      <c r="AT704" s="26"/>
      <c r="AU704" s="26"/>
      <c r="AV704" s="26" t="s">
        <v>58</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3">
      <c r="G705" s="26"/>
      <c r="H705" s="26"/>
      <c r="I705" s="26"/>
      <c r="J705" s="26"/>
      <c r="K705" s="26"/>
      <c r="L705" s="26"/>
      <c r="M705" s="26"/>
      <c r="N705" s="26"/>
      <c r="O705" s="26" t="s">
        <v>63</v>
      </c>
      <c r="P705" s="26" t="s">
        <v>27</v>
      </c>
      <c r="Q705" s="26"/>
      <c r="R705" s="26" t="s">
        <v>64</v>
      </c>
      <c r="S705" s="26">
        <v>0.03</v>
      </c>
      <c r="T705" s="26">
        <f>1+(T704/100)</f>
        <v>1</v>
      </c>
      <c r="U705" s="26"/>
      <c r="V705" s="26">
        <v>0</v>
      </c>
      <c r="W705" s="26">
        <v>0</v>
      </c>
      <c r="X705" s="26"/>
      <c r="Y705" s="26" t="s">
        <v>65</v>
      </c>
      <c r="Z705" s="26"/>
      <c r="AA705" s="26"/>
      <c r="AB705" s="26"/>
      <c r="AC705" s="26"/>
      <c r="AD705" s="26"/>
      <c r="AE705" s="26"/>
      <c r="AF705" s="26"/>
      <c r="AG705" s="26"/>
      <c r="AH705" s="26"/>
      <c r="AI705" s="26" t="s">
        <v>66</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3">
      <c r="G706" s="26"/>
      <c r="H706" s="26"/>
      <c r="I706" s="26"/>
      <c r="J706" s="26"/>
      <c r="K706" s="26"/>
      <c r="L706" s="26"/>
      <c r="M706" s="26"/>
      <c r="N706" s="26"/>
      <c r="O706" s="26" t="s">
        <v>70</v>
      </c>
      <c r="P706" s="26" t="s">
        <v>71</v>
      </c>
      <c r="Q706" s="26"/>
      <c r="R706" s="26" t="s">
        <v>72</v>
      </c>
      <c r="S706" s="26">
        <v>4.8099999999999997E-2</v>
      </c>
      <c r="T706" s="26"/>
      <c r="U706" s="26"/>
      <c r="V706" s="26">
        <v>1</v>
      </c>
      <c r="W706" s="26">
        <v>0.47499999999999998</v>
      </c>
      <c r="X706" s="26" t="s">
        <v>59</v>
      </c>
      <c r="Y706" s="26">
        <v>0.09</v>
      </c>
      <c r="Z706" s="26" t="s">
        <v>73</v>
      </c>
      <c r="AA706" s="26"/>
      <c r="AB706" s="26"/>
      <c r="AC706" s="26"/>
      <c r="AD706" s="26"/>
      <c r="AE706" s="26" t="s">
        <v>497</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3">
      <c r="G707" s="26"/>
      <c r="H707" s="26"/>
      <c r="I707" s="26"/>
      <c r="J707" s="26"/>
      <c r="K707" s="26"/>
      <c r="L707" s="26"/>
      <c r="M707" s="26"/>
      <c r="N707" s="26"/>
      <c r="O707" s="26" t="s">
        <v>75</v>
      </c>
      <c r="P707" s="26" t="s">
        <v>76</v>
      </c>
      <c r="Q707" s="26"/>
      <c r="R707" s="26"/>
      <c r="S707" s="26"/>
      <c r="T707" s="26"/>
      <c r="U707" s="26"/>
      <c r="V707" s="26">
        <v>2</v>
      </c>
      <c r="W707" s="26">
        <v>0.495</v>
      </c>
      <c r="X707" s="26" t="s">
        <v>59</v>
      </c>
      <c r="Y707" s="26">
        <v>8.2500000000000004E-2</v>
      </c>
      <c r="Z707" s="26" t="s">
        <v>77</v>
      </c>
      <c r="AA707" s="26"/>
      <c r="AB707" s="26"/>
      <c r="AC707" s="26"/>
      <c r="AD707" s="26"/>
      <c r="AE707" s="26" t="s">
        <v>157</v>
      </c>
      <c r="AF707" s="26" t="s">
        <v>71</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3">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59</v>
      </c>
      <c r="Y708" s="26">
        <v>7.4999999999999997E-2</v>
      </c>
      <c r="Z708" s="26" t="s">
        <v>80</v>
      </c>
      <c r="AA708" s="26"/>
      <c r="AB708" s="26"/>
      <c r="AC708" s="26"/>
      <c r="AD708" s="26"/>
      <c r="AE708" s="26" t="s">
        <v>197</v>
      </c>
      <c r="AF708" s="26" t="s">
        <v>71</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3">
      <c r="G709" s="26"/>
      <c r="H709" s="26"/>
      <c r="I709" s="26"/>
      <c r="J709" s="26"/>
      <c r="K709" s="26"/>
      <c r="L709" s="26"/>
      <c r="M709" s="26"/>
      <c r="N709" s="26"/>
      <c r="O709" s="26"/>
      <c r="P709" s="26"/>
      <c r="Q709" s="26"/>
      <c r="R709" s="26"/>
      <c r="S709" s="26" t="s">
        <v>84</v>
      </c>
      <c r="T709" s="26"/>
      <c r="U709" s="26"/>
      <c r="V709" s="26">
        <v>4</v>
      </c>
      <c r="W709" s="26">
        <v>0.53</v>
      </c>
      <c r="X709" s="26" t="s">
        <v>59</v>
      </c>
      <c r="Y709" s="26">
        <v>6.7500000000000004E-2</v>
      </c>
      <c r="Z709" s="26" t="s">
        <v>85</v>
      </c>
      <c r="AA709" s="26"/>
      <c r="AB709" s="26"/>
      <c r="AC709" s="26"/>
      <c r="AD709" s="26"/>
      <c r="AE709" s="26" t="s">
        <v>564</v>
      </c>
      <c r="AF709" s="26" t="s">
        <v>71</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3">
      <c r="G710" s="26"/>
      <c r="H710" s="26"/>
      <c r="I710" s="26"/>
      <c r="J710" s="26"/>
      <c r="K710" s="26"/>
      <c r="L710" s="26"/>
      <c r="M710" s="26"/>
      <c r="N710" s="26"/>
      <c r="O710" s="26">
        <f ca="1">ROUND((I775-AL723)/365.25,2)</f>
        <v>65.84</v>
      </c>
      <c r="P710" s="26" t="s">
        <v>89</v>
      </c>
      <c r="Q710" s="26">
        <f>ROUND((AF735-AT720)/365.25,2)</f>
        <v>0.36</v>
      </c>
      <c r="R710" s="26"/>
      <c r="S710" s="26" t="s">
        <v>6</v>
      </c>
      <c r="T710" s="26"/>
      <c r="U710" s="26"/>
      <c r="V710" s="26">
        <v>5</v>
      </c>
      <c r="W710" s="26">
        <v>0.54500000000000004</v>
      </c>
      <c r="X710" s="26" t="s">
        <v>59</v>
      </c>
      <c r="Y710" s="26">
        <v>0.06</v>
      </c>
      <c r="Z710" s="26" t="s">
        <v>90</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3">
      <c r="G711" s="26"/>
      <c r="H711" s="26"/>
      <c r="I711" s="26"/>
      <c r="J711" s="26"/>
      <c r="K711" s="26"/>
      <c r="L711" s="26"/>
      <c r="M711" s="26"/>
      <c r="N711" s="26"/>
      <c r="O711" s="26">
        <f ca="1">IF(BB769=CB719,59-O710,60-O710)</f>
        <v>-5.8400000000000034</v>
      </c>
      <c r="P711" s="26" t="s">
        <v>96</v>
      </c>
      <c r="Q711" s="26">
        <f ca="1">Q710+O711</f>
        <v>-5.4800000000000031</v>
      </c>
      <c r="R711" s="26"/>
      <c r="S711" s="26" t="s">
        <v>97</v>
      </c>
      <c r="T711" s="26"/>
      <c r="U711" s="26"/>
      <c r="V711" s="26">
        <v>6</v>
      </c>
      <c r="W711" s="26">
        <v>0.56499999999999995</v>
      </c>
      <c r="X711" s="26" t="s">
        <v>59</v>
      </c>
      <c r="Y711" s="26">
        <v>5.2499999999999998E-2</v>
      </c>
      <c r="Z711" s="26" t="s">
        <v>98</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565</v>
      </c>
      <c r="BD711" s="26" t="s">
        <v>71</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3">
      <c r="G712" s="26"/>
      <c r="H712" s="26"/>
      <c r="I712" s="26"/>
      <c r="J712" s="26"/>
      <c r="K712" s="26"/>
      <c r="L712" s="26"/>
      <c r="M712" s="26"/>
      <c r="N712" s="26"/>
      <c r="O712" s="26">
        <f ca="1">IF(AD738+O711&gt;36,36,AD738+O711)</f>
        <v>27.159999999999997</v>
      </c>
      <c r="P712" s="26" t="s">
        <v>104</v>
      </c>
      <c r="Q712" s="26">
        <f>E928</f>
        <v>0</v>
      </c>
      <c r="R712" s="26" t="s">
        <v>105</v>
      </c>
      <c r="S712" s="26" t="s">
        <v>106</v>
      </c>
      <c r="T712" s="26"/>
      <c r="U712" s="26"/>
      <c r="V712" s="26">
        <v>7</v>
      </c>
      <c r="W712" s="26">
        <v>0.58499999999999996</v>
      </c>
      <c r="X712" s="26" t="s">
        <v>59</v>
      </c>
      <c r="Y712" s="26">
        <v>4.4999999999999998E-2</v>
      </c>
      <c r="Z712" s="26" t="s">
        <v>107</v>
      </c>
      <c r="AA712" s="26"/>
      <c r="AB712" s="26"/>
      <c r="AC712" s="26"/>
      <c r="AD712" s="26"/>
      <c r="AE712" s="26"/>
      <c r="AF712" s="26"/>
      <c r="AG712" s="26"/>
      <c r="AH712" s="26"/>
      <c r="AI712" s="26">
        <v>4</v>
      </c>
      <c r="AJ712" s="26" t="s">
        <v>59</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3">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114</v>
      </c>
      <c r="T713" s="26"/>
      <c r="U713" s="26"/>
      <c r="V713" s="26">
        <v>8</v>
      </c>
      <c r="W713" s="26">
        <v>0.6</v>
      </c>
      <c r="X713" s="26"/>
      <c r="Y713" s="26">
        <v>0</v>
      </c>
      <c r="Z713" s="26" t="s">
        <v>115</v>
      </c>
      <c r="AA713" s="26"/>
      <c r="AB713" s="26"/>
      <c r="AC713" s="26"/>
      <c r="AD713" s="26"/>
      <c r="AE713" s="26"/>
      <c r="AF713" s="26"/>
      <c r="AG713" s="26"/>
      <c r="AH713" s="26"/>
      <c r="AI713" s="26">
        <v>4.5</v>
      </c>
      <c r="AJ713" s="26" t="s">
        <v>59</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3">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59</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3">
      <c r="G715" s="26"/>
      <c r="H715" s="26"/>
      <c r="I715" s="26"/>
      <c r="J715" s="26"/>
      <c r="K715" s="26"/>
      <c r="L715" s="26"/>
      <c r="M715" s="26"/>
      <c r="N715" s="26"/>
      <c r="O715" s="26">
        <v>0</v>
      </c>
      <c r="P715" s="26"/>
      <c r="Q715" s="26"/>
      <c r="R715" s="26"/>
      <c r="S715" s="26"/>
      <c r="T715" s="26" t="s">
        <v>59</v>
      </c>
      <c r="U715" s="26"/>
      <c r="V715" s="26">
        <v>1</v>
      </c>
      <c r="W715" s="26">
        <v>0.63500000000000001</v>
      </c>
      <c r="X715" s="26"/>
      <c r="Y715" s="26"/>
      <c r="Z715" s="26"/>
      <c r="AA715" s="26"/>
      <c r="AB715" s="26"/>
      <c r="AC715" s="26"/>
      <c r="AD715" s="26"/>
      <c r="AE715" s="26"/>
      <c r="AF715" s="26"/>
      <c r="AG715" s="26"/>
      <c r="AH715" s="26"/>
      <c r="AI715" s="26">
        <v>5.5</v>
      </c>
      <c r="AJ715" s="26" t="s">
        <v>59</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125</v>
      </c>
      <c r="BV715" s="26" t="s">
        <v>126</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3">
      <c r="G716" s="26"/>
      <c r="H716" s="26"/>
      <c r="I716" s="26"/>
      <c r="J716" s="26"/>
      <c r="K716" s="26"/>
      <c r="L716" s="26"/>
      <c r="M716" s="26"/>
      <c r="N716" s="26"/>
      <c r="O716" s="26">
        <v>0</v>
      </c>
      <c r="P716" s="26"/>
      <c r="Q716" s="26"/>
      <c r="R716" s="26">
        <f>IF(BB775=S710,10%,IF(BB775=S711,20%,IF(BB775=S712,11.5%,6%)))</f>
        <v>0.06</v>
      </c>
      <c r="S716" s="26" t="s">
        <v>130</v>
      </c>
      <c r="T716" s="26">
        <v>0.05</v>
      </c>
      <c r="U716" s="26"/>
      <c r="V716" s="26">
        <v>11</v>
      </c>
      <c r="W716" s="26">
        <v>0.66</v>
      </c>
      <c r="X716" s="26"/>
      <c r="Y716" s="26" t="s">
        <v>131</v>
      </c>
      <c r="Z716" s="26">
        <v>0</v>
      </c>
      <c r="AA716" s="26"/>
      <c r="AB716" s="26"/>
      <c r="AC716" s="26"/>
      <c r="AD716" s="26"/>
      <c r="AE716" s="26"/>
      <c r="AF716" s="26"/>
      <c r="AG716" s="26"/>
      <c r="AH716" s="26"/>
      <c r="AI716" s="26">
        <v>6</v>
      </c>
      <c r="AJ716" s="26" t="s">
        <v>59</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3">
      <c r="G717" s="26"/>
      <c r="H717" s="26"/>
      <c r="I717" s="26"/>
      <c r="J717" s="26"/>
      <c r="K717" s="26"/>
      <c r="L717" s="26"/>
      <c r="M717" s="26"/>
      <c r="N717" s="26"/>
      <c r="O717" s="26">
        <v>0</v>
      </c>
      <c r="P717" s="26"/>
      <c r="Q717" s="26"/>
      <c r="R717" s="26"/>
      <c r="S717" s="26" t="s">
        <v>135</v>
      </c>
      <c r="T717" s="26">
        <v>0.10249999999999999</v>
      </c>
      <c r="U717" s="26"/>
      <c r="V717" s="26">
        <v>12</v>
      </c>
      <c r="W717" s="26">
        <v>0.68</v>
      </c>
      <c r="X717" s="26"/>
      <c r="Y717" s="26" t="s">
        <v>136</v>
      </c>
      <c r="Z717" s="26">
        <f>W754</f>
        <v>1</v>
      </c>
      <c r="AA717" s="26"/>
      <c r="AB717" s="26"/>
      <c r="AC717" s="26">
        <v>5</v>
      </c>
      <c r="AD717" s="26"/>
      <c r="AE717" s="26" t="s">
        <v>137</v>
      </c>
      <c r="AF717" s="26"/>
      <c r="AG717" s="26" t="e">
        <f>#REF!</f>
        <v>#REF!</v>
      </c>
      <c r="AH717" s="26"/>
      <c r="AI717" s="26">
        <v>6.5</v>
      </c>
      <c r="AJ717" s="26" t="s">
        <v>59</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138</v>
      </c>
      <c r="BV717" s="26" t="s">
        <v>139</v>
      </c>
      <c r="BW717" s="26" t="s">
        <v>140</v>
      </c>
      <c r="BX717" s="26"/>
      <c r="BY717" s="26"/>
      <c r="BZ717" s="26"/>
      <c r="CA717" s="26"/>
      <c r="CB717" s="26"/>
      <c r="CC717" s="26" t="s">
        <v>141</v>
      </c>
      <c r="CD717" s="26"/>
      <c r="CE717" s="26"/>
      <c r="CF717" s="26"/>
      <c r="CG717" s="26" t="s">
        <v>142</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3">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59</v>
      </c>
      <c r="AQ718" s="26">
        <f>BB771+BB772</f>
        <v>33</v>
      </c>
      <c r="AR718" s="26">
        <f>IF(AR719=0,0,1)</f>
        <v>1</v>
      </c>
      <c r="AS718" s="26"/>
      <c r="AT718" s="26"/>
      <c r="AU718" s="26" t="s">
        <v>59</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3">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151</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59</v>
      </c>
      <c r="AV719" s="26">
        <v>14</v>
      </c>
      <c r="AW719" s="26">
        <v>0.312</v>
      </c>
      <c r="AX719" s="26"/>
      <c r="AY719" s="26"/>
      <c r="AZ719" s="26"/>
      <c r="BA719" s="26"/>
      <c r="BB719" s="26"/>
      <c r="BC719" s="26"/>
      <c r="BD719" s="26"/>
      <c r="BE719" s="26"/>
      <c r="BF719" s="26" t="s">
        <v>152</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566</v>
      </c>
      <c r="CC719" s="26" t="s">
        <v>13</v>
      </c>
      <c r="CD719" s="26" t="s">
        <v>14</v>
      </c>
      <c r="CE719" s="26" t="s">
        <v>15</v>
      </c>
      <c r="CF719" s="26" t="s">
        <v>16</v>
      </c>
      <c r="CG719" s="26" t="s">
        <v>444</v>
      </c>
      <c r="CH719" s="26" t="s">
        <v>567</v>
      </c>
      <c r="CI719" s="26" t="s">
        <v>141</v>
      </c>
      <c r="CJ719" s="26" t="s">
        <v>568</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3">
      <c r="G720" s="26"/>
      <c r="H720" s="26"/>
      <c r="I720" s="26"/>
      <c r="J720" s="26"/>
      <c r="K720" s="26"/>
      <c r="L720" s="26"/>
      <c r="M720" s="26"/>
      <c r="N720" s="26"/>
      <c r="O720" s="26"/>
      <c r="P720" s="26"/>
      <c r="Q720" s="26"/>
      <c r="R720" s="26"/>
      <c r="S720" s="26" t="s">
        <v>156</v>
      </c>
      <c r="T720" s="26">
        <v>0</v>
      </c>
      <c r="U720" s="26" t="e">
        <f>M747*1.2%*#REF!</f>
        <v>#REF!</v>
      </c>
      <c r="V720" s="26" t="s">
        <v>156</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158</v>
      </c>
      <c r="AP720" s="26">
        <v>39844</v>
      </c>
      <c r="AQ720" s="26">
        <v>8</v>
      </c>
      <c r="AR720" s="26">
        <v>8.5</v>
      </c>
      <c r="AS720" s="26" t="s">
        <v>159</v>
      </c>
      <c r="AT720" s="26">
        <v>40442</v>
      </c>
      <c r="AU720" s="26"/>
      <c r="AV720" s="26"/>
      <c r="AW720" s="26"/>
      <c r="AX720" s="26" t="str">
        <f ca="1">"06/"&amp;MID(AY720,1,4)</f>
        <v>06/2016</v>
      </c>
      <c r="AY720" s="26">
        <f ca="1">YEAR(AQ719+I775)+AR718</f>
        <v>2016</v>
      </c>
      <c r="AZ720" s="26" t="s">
        <v>160</v>
      </c>
      <c r="BA720" s="26"/>
      <c r="BB720" s="26"/>
      <c r="BC720" s="26"/>
      <c r="BD720" s="26">
        <v>15</v>
      </c>
      <c r="BE720" s="26">
        <v>0.33600000000000002</v>
      </c>
      <c r="BF720" s="26"/>
      <c r="BG720" s="26"/>
      <c r="BH720" s="26" t="s">
        <v>161</v>
      </c>
      <c r="BI720" s="26" t="s">
        <v>162</v>
      </c>
      <c r="BJ720" s="26" t="s">
        <v>163</v>
      </c>
      <c r="BK720" s="26"/>
      <c r="BL720" s="26"/>
      <c r="BM720" s="26"/>
      <c r="BN720" s="26" t="s">
        <v>164</v>
      </c>
      <c r="BO720" s="26">
        <f>E111</f>
        <v>0</v>
      </c>
      <c r="BP720" s="26"/>
      <c r="BQ720" s="26"/>
      <c r="BR720" s="26"/>
      <c r="BS720" s="26"/>
      <c r="BT720" s="26" t="s">
        <v>165</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3">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59</v>
      </c>
      <c r="Z721" s="26"/>
      <c r="AA721" s="26" t="e">
        <f>1-#REF!/(#REF!+#REF!)</f>
        <v>#REF!</v>
      </c>
      <c r="AB721" s="26"/>
      <c r="AC721" s="26"/>
      <c r="AD721" s="26"/>
      <c r="AE721" s="26"/>
      <c r="AF721" s="26"/>
      <c r="AG721" s="26" t="s">
        <v>168</v>
      </c>
      <c r="AH721" s="26">
        <v>39872</v>
      </c>
      <c r="AI721" s="26">
        <v>8.5</v>
      </c>
      <c r="AJ721" s="26">
        <v>9</v>
      </c>
      <c r="AK721" s="26"/>
      <c r="AL721" s="26"/>
      <c r="AM721" s="26"/>
      <c r="AN721" s="26" t="s">
        <v>169</v>
      </c>
      <c r="AO721" s="26"/>
      <c r="AP721" s="26"/>
      <c r="AQ721" s="26"/>
      <c r="AR721" s="26"/>
      <c r="AS721" s="26"/>
      <c r="AT721" s="26" t="s">
        <v>170</v>
      </c>
      <c r="AU721" s="26"/>
      <c r="AV721" s="26">
        <v>16</v>
      </c>
      <c r="AW721" s="26">
        <v>0.36</v>
      </c>
      <c r="AX721" s="26"/>
      <c r="AY721" s="26"/>
      <c r="AZ721" s="26" t="s">
        <v>171</v>
      </c>
      <c r="BA721" s="26" t="s">
        <v>171</v>
      </c>
      <c r="BB721" s="26" t="s">
        <v>172</v>
      </c>
      <c r="BC721" s="26" t="s">
        <v>173</v>
      </c>
      <c r="BD721" s="26" t="s">
        <v>174</v>
      </c>
      <c r="BE721" s="26" t="s">
        <v>175</v>
      </c>
      <c r="BF721" s="26" t="s">
        <v>176</v>
      </c>
      <c r="BG721" s="26"/>
      <c r="BH721" s="26"/>
      <c r="BI721" s="26"/>
      <c r="BJ721" s="26"/>
      <c r="BK721" s="26"/>
      <c r="BL721" s="26">
        <v>1114297</v>
      </c>
      <c r="BM721" s="26"/>
      <c r="BN721" s="26" t="s">
        <v>177</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3">
      <c r="G722" s="26"/>
      <c r="H722" s="26"/>
      <c r="I722" s="26"/>
      <c r="J722" s="26"/>
      <c r="K722" s="26"/>
      <c r="L722" s="26"/>
      <c r="M722" s="26"/>
      <c r="N722" s="26"/>
      <c r="O722" s="26">
        <f ca="1">O708*Y714</f>
        <v>0</v>
      </c>
      <c r="P722" s="26"/>
      <c r="Q722" s="26" t="s">
        <v>59</v>
      </c>
      <c r="R722" s="26"/>
      <c r="S722" s="26"/>
      <c r="T722" s="26"/>
      <c r="U722" s="26"/>
      <c r="V722" s="26" t="s">
        <v>184</v>
      </c>
      <c r="W722" s="26">
        <v>5</v>
      </c>
      <c r="X722" s="26"/>
      <c r="Y722" s="26"/>
      <c r="Z722" s="26" t="s">
        <v>59</v>
      </c>
      <c r="AA722" s="26" t="s">
        <v>59</v>
      </c>
      <c r="AB722" s="26" t="s">
        <v>185</v>
      </c>
      <c r="AC722" s="26"/>
      <c r="AD722" s="26"/>
      <c r="AE722" s="26"/>
      <c r="AF722" s="26"/>
      <c r="AG722" s="26" t="s">
        <v>186</v>
      </c>
      <c r="AH722" s="26">
        <v>39903</v>
      </c>
      <c r="AI722" s="26">
        <v>9</v>
      </c>
      <c r="AJ722" s="26" t="s">
        <v>187</v>
      </c>
      <c r="AK722" s="26" t="s">
        <v>102</v>
      </c>
      <c r="AL722" s="26" t="s">
        <v>188</v>
      </c>
      <c r="AM722" s="26">
        <f>'[1]נתוני מס'!I22</f>
        <v>395</v>
      </c>
      <c r="AN722" s="26">
        <v>10</v>
      </c>
      <c r="AO722" s="26"/>
      <c r="AP722" s="26" t="s">
        <v>189</v>
      </c>
      <c r="AQ722" s="26"/>
      <c r="AR722" s="26"/>
      <c r="AS722" s="26"/>
      <c r="AT722" s="26">
        <f>AL723</f>
        <v>21262</v>
      </c>
      <c r="AU722" s="26" t="s">
        <v>190</v>
      </c>
      <c r="AV722" s="26" t="s">
        <v>191</v>
      </c>
      <c r="AW722" s="26">
        <f>VLOOKUP(BB779,nihool,2,FALSE)</f>
        <v>0</v>
      </c>
      <c r="AX722" s="26"/>
      <c r="AY722" s="26"/>
      <c r="AZ722" s="26" t="s">
        <v>176</v>
      </c>
      <c r="BA722" s="26" t="s">
        <v>192</v>
      </c>
      <c r="BB722" s="26" t="e">
        <f>#REF!/12</f>
        <v>#REF!</v>
      </c>
      <c r="BC722" s="26" t="e">
        <f>G966</f>
        <v>#REF!</v>
      </c>
      <c r="BD722" s="26" t="e">
        <f>#REF!/12-BE812</f>
        <v>#REF!</v>
      </c>
      <c r="BE722" s="26" t="e">
        <f>(12*(E946-L807)+BB787)/12</f>
        <v>#REF!</v>
      </c>
      <c r="BF722" s="26" t="e">
        <f>(#REF!*((12-BE741/12))+BB787/12*BE742)/12+E111+BE723*((12-BE742)/12)</f>
        <v>#REF!</v>
      </c>
      <c r="BG722" s="26"/>
      <c r="BH722" s="26"/>
      <c r="BI722" s="26" t="s">
        <v>193</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3">
      <c r="G723" s="26"/>
      <c r="H723" s="26"/>
      <c r="I723" s="26"/>
      <c r="J723" s="26"/>
      <c r="K723" s="26"/>
      <c r="L723" s="26"/>
      <c r="M723" s="26"/>
      <c r="N723" s="26"/>
      <c r="O723" s="26">
        <f ca="1">SUM(O713:O716)*BB778</f>
        <v>0</v>
      </c>
      <c r="P723" s="26"/>
      <c r="Q723" s="26"/>
      <c r="R723" s="26"/>
      <c r="S723" s="26" t="s">
        <v>569</v>
      </c>
      <c r="T723" s="26"/>
      <c r="U723" s="26"/>
      <c r="V723" s="26"/>
      <c r="W723" s="26"/>
      <c r="X723" s="26"/>
      <c r="Y723" s="26" t="s">
        <v>198</v>
      </c>
      <c r="Z723" s="26" t="s">
        <v>59</v>
      </c>
      <c r="AA723" s="26" t="s">
        <v>59</v>
      </c>
      <c r="AB723" s="26" t="s">
        <v>199</v>
      </c>
      <c r="AC723" s="26"/>
      <c r="AD723" s="26"/>
      <c r="AE723" s="26" t="s">
        <v>200</v>
      </c>
      <c r="AF723" s="26"/>
      <c r="AG723" s="26" t="s">
        <v>201</v>
      </c>
      <c r="AH723" s="26">
        <v>39933</v>
      </c>
      <c r="AI723" s="26"/>
      <c r="AJ723" s="26"/>
      <c r="AK723" s="26" t="s">
        <v>190</v>
      </c>
      <c r="AL723" s="26">
        <v>21262</v>
      </c>
      <c r="AM723" s="26"/>
      <c r="AN723" s="26" t="s">
        <v>202</v>
      </c>
      <c r="AO723" s="26"/>
      <c r="AP723" s="26">
        <v>0</v>
      </c>
      <c r="AQ723" s="26"/>
      <c r="AR723" s="26"/>
      <c r="AS723" s="26"/>
      <c r="AT723" s="26"/>
      <c r="AU723" s="26"/>
      <c r="AV723" s="26" t="s">
        <v>203</v>
      </c>
      <c r="AW723" s="26">
        <f>VLOOKUP(G102,nihool,2,FALSE)</f>
        <v>0</v>
      </c>
      <c r="AX723" s="26"/>
      <c r="AY723" s="26"/>
      <c r="AZ723" s="26" t="e">
        <f>#REF!/12/#REF!+G966+E111-BE812</f>
        <v>#REF!</v>
      </c>
      <c r="BA723" s="26" t="e">
        <f>#REF!/12+G966+E111-BE812</f>
        <v>#REF!</v>
      </c>
      <c r="BB723" s="26" t="s">
        <v>204</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205</v>
      </c>
      <c r="BQ723" s="26"/>
      <c r="BR723" s="26"/>
      <c r="BS723" s="26"/>
      <c r="BT723" s="26"/>
      <c r="BU723" s="26" t="s">
        <v>206</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3">
      <c r="G724" s="26"/>
      <c r="H724" s="26"/>
      <c r="I724" s="26"/>
      <c r="J724" s="26"/>
      <c r="K724" s="26"/>
      <c r="L724" s="26"/>
      <c r="M724" s="26"/>
      <c r="N724" s="26"/>
      <c r="O724" s="26">
        <f ca="1">P724*O723</f>
        <v>0</v>
      </c>
      <c r="P724" s="26">
        <f>IF(AW722=0,0,IF((AW722+Q724)&gt;36%,36%,AW722+Q724))</f>
        <v>0</v>
      </c>
      <c r="Q724" s="26" t="e">
        <f ca="1">(F904-O710)*2.4%</f>
        <v>#REF!</v>
      </c>
      <c r="R724" s="26"/>
      <c r="S724" s="26" t="s">
        <v>570</v>
      </c>
      <c r="T724" s="26"/>
      <c r="U724" s="26"/>
      <c r="V724" s="26" t="s">
        <v>212</v>
      </c>
      <c r="W724" s="26" t="s">
        <v>200</v>
      </c>
      <c r="X724" s="26"/>
      <c r="Y724" s="26" t="s">
        <v>27</v>
      </c>
      <c r="Z724" s="26" t="s">
        <v>59</v>
      </c>
      <c r="AA724" s="26" t="s">
        <v>59</v>
      </c>
      <c r="AB724" s="26" t="s">
        <v>213</v>
      </c>
      <c r="AC724" s="26"/>
      <c r="AD724" s="26"/>
      <c r="AE724" s="26"/>
      <c r="AF724" s="26"/>
      <c r="AG724" s="26" t="s">
        <v>214</v>
      </c>
      <c r="AH724" s="26">
        <v>39964</v>
      </c>
      <c r="AI724" s="26"/>
      <c r="AJ724" s="26"/>
      <c r="AK724" s="26" t="s">
        <v>215</v>
      </c>
      <c r="AL724" s="26" t="s">
        <v>216</v>
      </c>
      <c r="AM724" s="26"/>
      <c r="AN724" s="26">
        <v>11</v>
      </c>
      <c r="AO724" s="26"/>
      <c r="AP724" s="26">
        <v>0.5</v>
      </c>
      <c r="AQ724" s="26"/>
      <c r="AR724" s="26"/>
      <c r="AS724" s="26" t="s">
        <v>59</v>
      </c>
      <c r="AT724" s="26">
        <v>17288</v>
      </c>
      <c r="AU724" s="26">
        <v>17288</v>
      </c>
      <c r="AV724" s="26"/>
      <c r="AW724" s="26" t="s">
        <v>217</v>
      </c>
      <c r="AX724" s="26"/>
      <c r="AY724" s="26"/>
      <c r="AZ724" s="26" t="s">
        <v>218</v>
      </c>
      <c r="BA724" s="26"/>
      <c r="BB724" s="26"/>
      <c r="BC724" s="26" t="s">
        <v>219</v>
      </c>
      <c r="BD724" s="26" t="s">
        <v>220</v>
      </c>
      <c r="BE724" s="26" t="s">
        <v>173</v>
      </c>
      <c r="BF724" s="26" t="s">
        <v>221</v>
      </c>
      <c r="BG724" s="26" t="s">
        <v>222</v>
      </c>
      <c r="BH724" s="26" t="s">
        <v>223</v>
      </c>
      <c r="BI724" s="26" t="s">
        <v>224</v>
      </c>
      <c r="BJ724" s="26"/>
      <c r="BK724" s="26" t="s">
        <v>225</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3">
      <c r="G725" s="26"/>
      <c r="H725" s="26"/>
      <c r="I725" s="26"/>
      <c r="J725" s="26"/>
      <c r="K725" s="26"/>
      <c r="L725" s="26"/>
      <c r="M725" s="26"/>
      <c r="N725" s="26"/>
      <c r="O725" s="26"/>
      <c r="P725" s="26"/>
      <c r="Q725" s="26"/>
      <c r="R725" s="26"/>
      <c r="S725" s="26" t="s">
        <v>571</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3">
      <c r="G726" s="26"/>
      <c r="H726" s="26"/>
      <c r="I726" s="26"/>
      <c r="J726" s="26"/>
      <c r="K726" s="26"/>
      <c r="L726" s="26"/>
      <c r="M726" s="26"/>
      <c r="N726" s="26"/>
      <c r="O726" s="26"/>
      <c r="P726" s="26"/>
      <c r="Q726" s="26"/>
      <c r="R726" s="26"/>
      <c r="S726" s="26" t="s">
        <v>572</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3">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3">
      <c r="G728" s="26"/>
      <c r="H728" s="26"/>
      <c r="I728" s="26"/>
      <c r="J728" s="26"/>
      <c r="K728" s="26"/>
      <c r="L728" s="26"/>
      <c r="M728" s="26"/>
      <c r="N728" s="26"/>
      <c r="O728" s="26"/>
      <c r="P728" s="26"/>
      <c r="Q728" s="26"/>
      <c r="R728" s="26"/>
      <c r="S728" s="26"/>
      <c r="T728" s="26"/>
      <c r="U728" s="26"/>
      <c r="V728" s="26"/>
      <c r="W728" s="26"/>
      <c r="X728" s="26" t="s">
        <v>573</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3">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3">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3">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3">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230</v>
      </c>
      <c r="W732" s="26"/>
      <c r="X732" s="26"/>
      <c r="Y732" s="26"/>
      <c r="Z732" s="26" t="s">
        <v>59</v>
      </c>
      <c r="AA732" s="26" t="s">
        <v>59</v>
      </c>
      <c r="AB732" s="26" t="s">
        <v>231</v>
      </c>
      <c r="AC732" s="26" t="s">
        <v>59</v>
      </c>
      <c r="AD732" s="26"/>
      <c r="AE732" s="26" t="s">
        <v>232</v>
      </c>
      <c r="AF732" s="26"/>
      <c r="AG732" s="26" t="s">
        <v>233</v>
      </c>
      <c r="AH732" s="26">
        <v>39994</v>
      </c>
      <c r="AI732" s="26"/>
      <c r="AJ732" s="26"/>
      <c r="AK732" s="26" t="s">
        <v>234</v>
      </c>
      <c r="AL732" s="26">
        <v>28734</v>
      </c>
      <c r="AM732" s="26"/>
      <c r="AN732" s="26" t="s">
        <v>235</v>
      </c>
      <c r="AO732" s="26"/>
      <c r="AP732" s="26">
        <v>1</v>
      </c>
      <c r="AQ732" s="26"/>
      <c r="AR732" s="26"/>
      <c r="AS732" s="26" t="s">
        <v>59</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3">
      <c r="G733" s="26"/>
      <c r="H733" s="26"/>
      <c r="I733" s="26"/>
      <c r="J733" s="26"/>
      <c r="K733" s="26"/>
      <c r="L733" s="26"/>
      <c r="M733" s="26"/>
      <c r="N733" s="26"/>
      <c r="O733" s="26">
        <f ca="1">SUM(O713:O716)*W739</f>
        <v>0</v>
      </c>
      <c r="P733" s="26"/>
      <c r="Q733" s="26"/>
      <c r="R733" s="26"/>
      <c r="S733" s="26"/>
      <c r="T733" s="26"/>
      <c r="U733" s="26" t="s">
        <v>239</v>
      </c>
      <c r="V733" s="26"/>
      <c r="W733" s="26">
        <v>0</v>
      </c>
      <c r="X733" s="26"/>
      <c r="Y733" s="26"/>
      <c r="Z733" s="26" t="s">
        <v>59</v>
      </c>
      <c r="AA733" s="26" t="s">
        <v>240</v>
      </c>
      <c r="AB733" s="26" t="s">
        <v>241</v>
      </c>
      <c r="AC733" s="26"/>
      <c r="AD733" s="26"/>
      <c r="AE733" s="26" t="s">
        <v>242</v>
      </c>
      <c r="AF733" s="26">
        <v>389</v>
      </c>
      <c r="AG733" s="26" t="s">
        <v>243</v>
      </c>
      <c r="AH733" s="26">
        <v>40025</v>
      </c>
      <c r="AI733" s="26"/>
      <c r="AJ733" s="26"/>
      <c r="AK733" s="26">
        <v>16</v>
      </c>
      <c r="AL733" s="26">
        <v>11</v>
      </c>
      <c r="AM733" s="26"/>
      <c r="AN733" s="26">
        <v>12</v>
      </c>
      <c r="AO733" s="26"/>
      <c r="AP733" s="26">
        <v>1.5</v>
      </c>
      <c r="AQ733" s="26"/>
      <c r="AR733" s="26"/>
      <c r="AS733" s="26" t="s">
        <v>59</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3">
      <c r="G734" s="26"/>
      <c r="H734" s="26"/>
      <c r="I734" s="26"/>
      <c r="J734" s="26"/>
      <c r="K734" s="26"/>
      <c r="L734" s="26"/>
      <c r="M734" s="26"/>
      <c r="N734" s="26"/>
      <c r="O734" s="26">
        <f ca="1">O708*BB782</f>
        <v>0</v>
      </c>
      <c r="P734" s="26"/>
      <c r="Q734" s="26"/>
      <c r="R734" s="26"/>
      <c r="S734" s="26" t="s">
        <v>252</v>
      </c>
      <c r="T734" s="26"/>
      <c r="U734" s="26"/>
      <c r="V734" s="26"/>
      <c r="W734" s="26"/>
      <c r="X734" s="26"/>
      <c r="Y734" s="26"/>
      <c r="Z734" s="26" t="s">
        <v>59</v>
      </c>
      <c r="AA734" s="26"/>
      <c r="AB734" s="26" t="s">
        <v>59</v>
      </c>
      <c r="AC734" s="26"/>
      <c r="AD734" s="26"/>
      <c r="AE734" s="26" t="s">
        <v>253</v>
      </c>
      <c r="AF734" s="26">
        <v>0.59709999999999996</v>
      </c>
      <c r="AG734" s="26" t="s">
        <v>254</v>
      </c>
      <c r="AH734" s="26">
        <v>40056</v>
      </c>
      <c r="AI734" s="26"/>
      <c r="AJ734" s="26"/>
      <c r="AK734" s="26">
        <v>20</v>
      </c>
      <c r="AL734" s="26">
        <v>12</v>
      </c>
      <c r="AM734" s="26"/>
      <c r="AN734" s="26" t="s">
        <v>255</v>
      </c>
      <c r="AO734" s="26" t="s">
        <v>256</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257</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3">
      <c r="G735" s="26"/>
      <c r="H735" s="26"/>
      <c r="I735" s="26"/>
      <c r="J735" s="26"/>
      <c r="K735" s="26"/>
      <c r="L735" s="26"/>
      <c r="M735" s="26"/>
      <c r="N735" s="26"/>
      <c r="O735" s="26">
        <f>BB783</f>
        <v>0</v>
      </c>
      <c r="P735" s="26"/>
      <c r="Q735" s="26"/>
      <c r="R735" s="26">
        <f>IF(BB769=BW719,10%,IF(BB769=BX719,5%,0))</f>
        <v>0.1</v>
      </c>
      <c r="S735" s="26" t="s">
        <v>263</v>
      </c>
      <c r="T735" s="26"/>
      <c r="U735" s="26"/>
      <c r="V735" s="26"/>
      <c r="W735" s="26"/>
      <c r="X735" s="26">
        <v>40147</v>
      </c>
      <c r="Y735" s="26"/>
      <c r="Z735" s="26" t="s">
        <v>264</v>
      </c>
      <c r="AA735" s="26" t="e">
        <f>IF(BA760&lt;60,MIN(AV753:AV755),0)</f>
        <v>#REF!</v>
      </c>
      <c r="AB735" s="26"/>
      <c r="AC735" s="26"/>
      <c r="AD735" s="26"/>
      <c r="AE735" s="26" t="s">
        <v>265</v>
      </c>
      <c r="AF735" s="26">
        <v>40574</v>
      </c>
      <c r="AG735" s="26" t="s">
        <v>151</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138</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3">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216</v>
      </c>
      <c r="AF736" s="26"/>
      <c r="AG736" s="26" t="s">
        <v>272</v>
      </c>
      <c r="AH736" s="26">
        <v>40117</v>
      </c>
      <c r="AI736" s="26"/>
      <c r="AJ736" s="26"/>
      <c r="AK736" s="26"/>
      <c r="AL736" s="26"/>
      <c r="AM736" s="26"/>
      <c r="AN736" s="26" t="s">
        <v>273</v>
      </c>
      <c r="AO736" s="26" t="s">
        <v>274</v>
      </c>
      <c r="AP736" s="26">
        <v>3</v>
      </c>
      <c r="AQ736" s="26"/>
      <c r="AR736" s="26"/>
      <c r="AS736" s="26"/>
      <c r="AT736" s="26">
        <v>19238</v>
      </c>
      <c r="AU736" s="26">
        <v>19238</v>
      </c>
      <c r="AV736" s="26"/>
      <c r="AW736" s="26" t="s">
        <v>275</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224</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3">
      <c r="G737" s="26"/>
      <c r="H737" s="26"/>
      <c r="I737" s="26"/>
      <c r="J737" s="26"/>
      <c r="K737" s="26"/>
      <c r="L737" s="26"/>
      <c r="M737" s="26"/>
      <c r="N737" s="26"/>
      <c r="O737" s="26" t="e">
        <f ca="1">(O736*Q711+D946*G945)/O712</f>
        <v>#REF!</v>
      </c>
      <c r="P737" s="26" t="s">
        <v>59</v>
      </c>
      <c r="Q737" s="26"/>
      <c r="R737" s="26"/>
      <c r="S737" s="26"/>
      <c r="T737" s="26"/>
      <c r="U737" s="26"/>
      <c r="V737" s="26"/>
      <c r="W737" s="26"/>
      <c r="X737" s="26"/>
      <c r="Y737" s="26"/>
      <c r="Z737" s="26" t="s">
        <v>275</v>
      </c>
      <c r="AA737" s="26">
        <f ca="1">YEAR(AF735)-YEAR(I775)+AX736</f>
        <v>20</v>
      </c>
      <c r="AB737" s="26"/>
      <c r="AC737" s="26"/>
      <c r="AD737" s="26" t="s">
        <v>280</v>
      </c>
      <c r="AE737" s="26" t="s">
        <v>281</v>
      </c>
      <c r="AF737" s="26" t="s">
        <v>282</v>
      </c>
      <c r="AG737" s="26" t="s">
        <v>283</v>
      </c>
      <c r="AH737" s="26">
        <v>40147</v>
      </c>
      <c r="AI737" s="26"/>
      <c r="AJ737" s="26"/>
      <c r="AK737" s="26"/>
      <c r="AL737" s="26" t="s">
        <v>59</v>
      </c>
      <c r="AM737" s="26">
        <f ca="1">VLOOKUP(AA737,__HAV2,2,TRUE)</f>
        <v>12</v>
      </c>
      <c r="AN737" s="26">
        <v>14</v>
      </c>
      <c r="AO737" s="26">
        <v>35</v>
      </c>
      <c r="AP737" s="26"/>
      <c r="AQ737" s="26"/>
      <c r="AR737" s="26"/>
      <c r="AS737" s="26"/>
      <c r="AT737" s="26">
        <v>19480</v>
      </c>
      <c r="AU737" s="26">
        <v>19480</v>
      </c>
      <c r="AV737" s="26" t="s">
        <v>284</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285</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3">
      <c r="G738" s="26"/>
      <c r="H738" s="26"/>
      <c r="I738" s="26"/>
      <c r="J738" s="26"/>
      <c r="K738" s="26"/>
      <c r="L738" s="26"/>
      <c r="M738" s="26" t="s">
        <v>54</v>
      </c>
      <c r="N738" s="26">
        <f ca="1">ROUND((I775-AT720)/365.25,2)</f>
        <v>13.33</v>
      </c>
      <c r="O738" s="26"/>
      <c r="P738" s="26"/>
      <c r="Q738" s="26"/>
      <c r="R738" s="26"/>
      <c r="S738" s="26"/>
      <c r="T738" s="26"/>
      <c r="U738" s="26"/>
      <c r="V738" s="26" t="s">
        <v>574</v>
      </c>
      <c r="W738" s="26"/>
      <c r="X738" s="26">
        <v>164.07</v>
      </c>
      <c r="Y738" s="26"/>
      <c r="Z738" s="26" t="s">
        <v>292</v>
      </c>
      <c r="AA738" s="26">
        <f>AX734</f>
        <v>33</v>
      </c>
      <c r="AB738" s="26"/>
      <c r="AC738" s="26" t="s">
        <v>191</v>
      </c>
      <c r="AD738" s="26">
        <f>IF(AX734&gt;AA739,AA739,AX734)</f>
        <v>33</v>
      </c>
      <c r="AE738" s="26" t="e">
        <f>IF(W724=#REF!,1.5*AF738,1*AF738)</f>
        <v>#REF!</v>
      </c>
      <c r="AF738" s="26">
        <f>IF(W724=AE723,1,IF(AX734&gt;30,0.75,1))</f>
        <v>1</v>
      </c>
      <c r="AG738" s="26" t="s">
        <v>293</v>
      </c>
      <c r="AH738" s="26">
        <v>40178</v>
      </c>
      <c r="AI738" s="26"/>
      <c r="AJ738" s="26"/>
      <c r="AK738" s="26"/>
      <c r="AL738" s="26"/>
      <c r="AM738" s="26"/>
      <c r="AN738" s="26" t="s">
        <v>294</v>
      </c>
      <c r="AO738" s="26" t="s">
        <v>295</v>
      </c>
      <c r="AP738" s="26"/>
      <c r="AQ738" s="26"/>
      <c r="AR738" s="26"/>
      <c r="AS738" s="26"/>
      <c r="AT738" s="26"/>
      <c r="AU738" s="26"/>
      <c r="AV738" s="26"/>
      <c r="AW738" s="26" t="s">
        <v>59</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3">
      <c r="G739" s="26"/>
      <c r="H739" s="26"/>
      <c r="I739" s="26"/>
      <c r="J739" s="26"/>
      <c r="K739" s="26"/>
      <c r="L739" s="26"/>
      <c r="M739" s="26" t="s">
        <v>59</v>
      </c>
      <c r="N739" s="26"/>
      <c r="O739" s="26"/>
      <c r="P739" s="26"/>
      <c r="Q739" s="26"/>
      <c r="R739" s="26"/>
      <c r="S739" s="26"/>
      <c r="T739" s="26"/>
      <c r="U739" s="26"/>
      <c r="V739" s="26" t="s">
        <v>302</v>
      </c>
      <c r="W739" s="26">
        <f>IF(BB781=Y723,12%,0)</f>
        <v>0</v>
      </c>
      <c r="X739" s="26"/>
      <c r="Y739" s="26"/>
      <c r="Z739" s="26" t="s">
        <v>303</v>
      </c>
      <c r="AA739" s="26">
        <v>36</v>
      </c>
      <c r="AB739" s="26"/>
      <c r="AC739" s="26" t="s">
        <v>304</v>
      </c>
      <c r="AD739" s="26">
        <f ca="1">IF((AD738+AB748)&gt;AA739,AA739,AD738+AB748)</f>
        <v>20</v>
      </c>
      <c r="AE739" s="26"/>
      <c r="AF739" s="26"/>
      <c r="AG739" s="26"/>
      <c r="AH739" s="26">
        <v>40209</v>
      </c>
      <c r="AI739" s="26"/>
      <c r="AJ739" s="26"/>
      <c r="AK739" s="26"/>
      <c r="AL739" s="26"/>
      <c r="AM739" s="26"/>
      <c r="AN739" s="26">
        <v>15</v>
      </c>
      <c r="AO739" s="26">
        <v>36</v>
      </c>
      <c r="AP739" s="26"/>
      <c r="AQ739" s="26"/>
      <c r="AR739" s="26" t="s">
        <v>305</v>
      </c>
      <c r="AS739" s="26"/>
      <c r="AT739" s="26">
        <f ca="1">IF(MONTH(I775)=1,1,0)</f>
        <v>1</v>
      </c>
      <c r="AU739" s="26"/>
      <c r="AV739" s="26" t="s">
        <v>306</v>
      </c>
      <c r="AW739" s="26" t="e">
        <f>(L807-#REF!)*12</f>
        <v>#REF!</v>
      </c>
      <c r="AX739" s="26"/>
      <c r="AY739" s="26"/>
      <c r="AZ739" s="26"/>
      <c r="BA739" s="26" t="s">
        <v>307</v>
      </c>
      <c r="BB739" s="26" t="s">
        <v>308</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309</v>
      </c>
      <c r="BL739" s="26"/>
      <c r="BM739" s="26"/>
      <c r="BN739" s="26" t="e">
        <f ca="1">IF($BM$738=0%,BN737,IF(BN724&lt;$BK$723,BN737*$BD$809,BN737-($BK$738*BN738)))</f>
        <v>#REF!</v>
      </c>
      <c r="BO739" s="26"/>
      <c r="BP739" s="26" t="e">
        <f ca="1">IF($BM$738=0%,BP737,IF(BP724&lt;$BK$723,BP737*$BD$809,BP737-($BK$738*BP738)))</f>
        <v>#REF!</v>
      </c>
      <c r="BQ739" s="26" t="s">
        <v>310</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3">
      <c r="G740" s="26"/>
      <c r="H740" s="26"/>
      <c r="I740" s="26"/>
      <c r="J740" s="26"/>
      <c r="K740" s="26"/>
      <c r="L740" s="26"/>
      <c r="M740" s="26"/>
      <c r="N740" s="26"/>
      <c r="O740" s="26"/>
      <c r="P740" s="26"/>
      <c r="Q740" s="26"/>
      <c r="R740" s="26"/>
      <c r="S740" s="26"/>
      <c r="T740" s="26"/>
      <c r="U740" s="26"/>
      <c r="V740" s="26"/>
      <c r="W740" s="26"/>
      <c r="X740" s="26"/>
      <c r="Y740" s="26"/>
      <c r="Z740" s="26"/>
      <c r="AA740" s="26"/>
      <c r="AB740" s="26" t="s">
        <v>314</v>
      </c>
      <c r="AC740" s="26"/>
      <c r="AD740" s="26"/>
      <c r="AE740" s="26" t="e">
        <f>(100-AE738)/100</f>
        <v>#REF!</v>
      </c>
      <c r="AF740" s="26"/>
      <c r="AG740" s="26"/>
      <c r="AH740" s="26">
        <v>40237</v>
      </c>
      <c r="AI740" s="26"/>
      <c r="AJ740" s="26" t="s">
        <v>315</v>
      </c>
      <c r="AK740" s="26"/>
      <c r="AL740" s="26"/>
      <c r="AM740" s="26"/>
      <c r="AN740" s="26" t="s">
        <v>316</v>
      </c>
      <c r="AO740" s="26" t="s">
        <v>317</v>
      </c>
      <c r="AP740" s="26"/>
      <c r="AQ740" s="26"/>
      <c r="AR740" s="26"/>
      <c r="AS740" s="26"/>
      <c r="AT740" s="26" t="s">
        <v>59</v>
      </c>
      <c r="AU740" s="26"/>
      <c r="AV740" s="26" t="s">
        <v>59</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318</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3">
      <c r="G741" s="26"/>
      <c r="H741" s="26"/>
      <c r="I741" s="26"/>
      <c r="J741" s="26"/>
      <c r="K741" s="26"/>
      <c r="L741" s="26"/>
      <c r="M741" s="26"/>
      <c r="N741" s="26"/>
      <c r="O741" s="26"/>
      <c r="P741" s="26"/>
      <c r="Q741" s="26"/>
      <c r="R741" s="26"/>
      <c r="S741" s="26"/>
      <c r="T741" s="26"/>
      <c r="U741" s="26"/>
      <c r="V741" s="26" t="s">
        <v>321</v>
      </c>
      <c r="W741" s="26"/>
      <c r="X741" s="26"/>
      <c r="Y741" s="26"/>
      <c r="Z741" s="26" t="s">
        <v>322</v>
      </c>
      <c r="AA741" s="26"/>
      <c r="AB741" s="26" t="s">
        <v>323</v>
      </c>
      <c r="AC741" s="26"/>
      <c r="AD741" s="26"/>
      <c r="AE741" s="26"/>
      <c r="AF741" s="26"/>
      <c r="AG741" s="26"/>
      <c r="AH741" s="26">
        <v>40268</v>
      </c>
      <c r="AI741" s="26"/>
      <c r="AJ741" s="26">
        <f ca="1">DATE(YEAR(I775),MONTH(I775)-MONTH(I775)+1,DAY(I775)-DAY(I775)+1)</f>
        <v>45292</v>
      </c>
      <c r="AK741" s="26">
        <f ca="1">ROUND((AJ741-AL732)/365.25,2)</f>
        <v>45.33</v>
      </c>
      <c r="AL741" s="26"/>
      <c r="AM741" s="26"/>
      <c r="AN741" s="26">
        <v>16</v>
      </c>
      <c r="AO741" s="26">
        <v>37</v>
      </c>
      <c r="AP741" s="26" t="s">
        <v>59</v>
      </c>
      <c r="AQ741" s="26"/>
      <c r="AR741" s="26"/>
      <c r="AS741" s="26"/>
      <c r="AT741" s="26"/>
      <c r="AU741" s="26"/>
      <c r="AV741" s="26">
        <f>IF(24.75-BB771-BB772&lt;=0,0,IF((24.75-BB771-BB772)&gt;#REF!,#REF!*#REF!*0.6,(24.75-BB771-BB772)*#REF!*0.6))</f>
        <v>0</v>
      </c>
      <c r="AW741" s="26"/>
      <c r="AX741" s="26"/>
      <c r="AY741" s="26"/>
      <c r="AZ741" s="26"/>
      <c r="BA741" s="26"/>
      <c r="BB741" s="26" t="s">
        <v>324</v>
      </c>
      <c r="BC741" s="26"/>
      <c r="BD741" s="26"/>
      <c r="BE741" s="26">
        <f>IF(MONTH(AF735)&gt;9,0,MONTH(AF735)-1+DAY(AF735)/30)</f>
        <v>1.0333333333333334</v>
      </c>
      <c r="BF741" s="26"/>
      <c r="BG741" s="26" t="s">
        <v>325</v>
      </c>
      <c r="BH741" s="26" t="e">
        <f>IF(BH740=0,0,(BH740-(BB786*BH742)*12)-BK741)</f>
        <v>#REF!</v>
      </c>
      <c r="BI741" s="26" t="s">
        <v>326</v>
      </c>
      <c r="BJ741" s="26" t="s">
        <v>327</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3">
      <c r="G742" s="26"/>
      <c r="H742" s="26"/>
      <c r="I742" s="26"/>
      <c r="J742" s="26"/>
      <c r="K742" s="26"/>
      <c r="L742" s="26"/>
      <c r="M742" s="26">
        <f>VLOOKUP(INT(W752),horaa2,AM720+2,FALSE)*(1)</f>
        <v>6975.17</v>
      </c>
      <c r="N742" s="26"/>
      <c r="O742" s="26"/>
      <c r="P742" s="26"/>
      <c r="Q742" s="26"/>
      <c r="R742" s="26"/>
      <c r="S742" s="26"/>
      <c r="T742" s="26"/>
      <c r="U742" s="26" t="s">
        <v>59</v>
      </c>
      <c r="V742" s="26" t="s">
        <v>332</v>
      </c>
      <c r="W742" s="26" t="s">
        <v>252</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333</v>
      </c>
      <c r="AO742" s="26" t="s">
        <v>334</v>
      </c>
      <c r="AP742" s="26"/>
      <c r="AQ742" s="26"/>
      <c r="AR742" s="26"/>
      <c r="AS742" s="26" t="s">
        <v>335</v>
      </c>
      <c r="AT742" s="26">
        <f ca="1">ROUND(G906,0)</f>
        <v>-11</v>
      </c>
      <c r="AU742" s="26"/>
      <c r="AV742" s="26" t="e">
        <f>IF(G911&lt;70%,IF(#REF!* 2% &gt;70%-G911,70%-G911,#REF!*2%),IF(G909+G910-G911&lt;=0,0,G909+G910-G911))</f>
        <v>#REF!</v>
      </c>
      <c r="AW742" s="26"/>
      <c r="AX742" s="26"/>
      <c r="AY742" s="26"/>
      <c r="AZ742" s="26"/>
      <c r="BA742" s="26"/>
      <c r="BB742" s="26" t="s">
        <v>336</v>
      </c>
      <c r="BC742" s="26"/>
      <c r="BD742" s="26"/>
      <c r="BE742" s="26">
        <f>MONTH(AF735)-1+DAY(AF735)/30</f>
        <v>1.0333333333333334</v>
      </c>
      <c r="BF742" s="26"/>
      <c r="BG742" s="26" t="s">
        <v>337</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3">
      <c r="G743" s="26"/>
      <c r="H743" s="26"/>
      <c r="I743" s="26"/>
      <c r="J743" s="26"/>
      <c r="K743" s="26"/>
      <c r="L743" s="26"/>
      <c r="M743" s="26"/>
      <c r="N743" s="26"/>
      <c r="O743" s="26"/>
      <c r="P743" s="26"/>
      <c r="Q743" s="26"/>
      <c r="R743" s="26"/>
      <c r="S743" s="26"/>
      <c r="T743" s="26"/>
      <c r="U743" s="26"/>
      <c r="V743" s="26" t="s">
        <v>339</v>
      </c>
      <c r="W743" s="26" t="s">
        <v>130</v>
      </c>
      <c r="X743" s="26"/>
      <c r="Y743" s="26"/>
      <c r="Z743" s="26" t="s">
        <v>59</v>
      </c>
      <c r="AA743" s="26"/>
      <c r="AB743" s="26"/>
      <c r="AC743" s="26"/>
      <c r="AD743" s="26" t="s">
        <v>340</v>
      </c>
      <c r="AE743" s="26">
        <f>L807*0.36</f>
        <v>5184.4128898677536</v>
      </c>
      <c r="AF743" s="26"/>
      <c r="AG743" s="26"/>
      <c r="AH743" s="26">
        <v>40329</v>
      </c>
      <c r="AI743" s="26"/>
      <c r="AJ743" s="26" t="s">
        <v>341</v>
      </c>
      <c r="AK743" s="26" t="s">
        <v>342</v>
      </c>
      <c r="AL743" s="26"/>
      <c r="AM743" s="26"/>
      <c r="AN743" s="26">
        <v>17</v>
      </c>
      <c r="AO743" s="26">
        <v>38</v>
      </c>
      <c r="AP743" s="26"/>
      <c r="AQ743" s="26"/>
      <c r="AR743" s="26"/>
      <c r="AS743" s="26" t="s">
        <v>343</v>
      </c>
      <c r="AT743" s="26" t="s">
        <v>59</v>
      </c>
      <c r="AU743" s="26"/>
      <c r="AV743" s="26"/>
      <c r="AW743" s="26"/>
      <c r="AX743" s="26"/>
      <c r="AY743" s="26"/>
      <c r="AZ743" s="26"/>
      <c r="BA743" s="26"/>
      <c r="BB743" s="26"/>
      <c r="BC743" s="26"/>
      <c r="BD743" s="26"/>
      <c r="BE743" s="26"/>
      <c r="BF743" s="26"/>
      <c r="BG743" s="26" t="s">
        <v>344</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59</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3">
      <c r="G744" s="26"/>
      <c r="H744" s="26"/>
      <c r="I744" s="26"/>
      <c r="J744" s="26"/>
      <c r="K744" s="26"/>
      <c r="L744" s="26"/>
      <c r="M744" s="26"/>
      <c r="N744" s="26" t="s">
        <v>88</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348</v>
      </c>
      <c r="AO744" s="26" t="s">
        <v>349</v>
      </c>
      <c r="AP744" s="26"/>
      <c r="AQ744" s="26"/>
      <c r="AR744" s="26"/>
      <c r="AS744" s="26" t="s">
        <v>350</v>
      </c>
      <c r="AT744" s="26">
        <f ca="1">(AT746*2)/100</f>
        <v>-1.8333333333333333E-2</v>
      </c>
      <c r="AU744" s="26"/>
      <c r="AV744" s="26"/>
      <c r="AW744" s="26"/>
      <c r="AX744" s="26"/>
      <c r="AY744" s="26"/>
      <c r="AZ744" s="26"/>
      <c r="BA744" s="26"/>
      <c r="BB744" s="26"/>
      <c r="BC744" s="26"/>
      <c r="BD744" s="26"/>
      <c r="BE744" s="26"/>
      <c r="BF744" s="26" t="s">
        <v>59</v>
      </c>
      <c r="BG744" s="26" t="s">
        <v>351</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3">
      <c r="G745" s="26"/>
      <c r="H745" s="26"/>
      <c r="I745" s="26"/>
      <c r="J745" s="26"/>
      <c r="K745" s="26"/>
      <c r="L745" s="26"/>
      <c r="M745" s="26"/>
      <c r="N745" s="26" t="s">
        <v>95</v>
      </c>
      <c r="O745" s="26"/>
      <c r="P745" s="26"/>
      <c r="Q745" s="26"/>
      <c r="R745" s="26"/>
      <c r="S745" s="26"/>
      <c r="T745" s="26" t="s">
        <v>353</v>
      </c>
      <c r="U745" s="26"/>
      <c r="V745" s="26">
        <v>0</v>
      </c>
      <c r="W745" s="26" t="s">
        <v>354</v>
      </c>
      <c r="X745" s="26"/>
      <c r="Y745" s="26"/>
      <c r="Z745" s="26"/>
      <c r="AA745" s="26" t="s">
        <v>8</v>
      </c>
      <c r="AB745" s="26" t="s">
        <v>355</v>
      </c>
      <c r="AC745" s="26" t="s">
        <v>356</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3">
      <c r="G746" s="26"/>
      <c r="H746" s="26"/>
      <c r="I746" s="26"/>
      <c r="J746" s="26"/>
      <c r="K746" s="26"/>
      <c r="L746" s="26"/>
      <c r="M746" s="26"/>
      <c r="N746" s="26" t="s">
        <v>103</v>
      </c>
      <c r="O746" s="26"/>
      <c r="P746" s="26"/>
      <c r="Q746" s="26"/>
      <c r="R746" s="26"/>
      <c r="S746" s="26"/>
      <c r="T746" s="26" t="s">
        <v>357</v>
      </c>
      <c r="U746" s="26"/>
      <c r="V746" s="26" t="s">
        <v>358</v>
      </c>
      <c r="W746" s="26" t="s">
        <v>359</v>
      </c>
      <c r="X746" s="26"/>
      <c r="Y746" s="26"/>
      <c r="Z746" s="26"/>
      <c r="AA746" s="26" t="s">
        <v>71</v>
      </c>
      <c r="AB746" s="26">
        <f>IF(AX734&lt;AA739,AX734-INT(AX734),0)</f>
        <v>0</v>
      </c>
      <c r="AC746" s="26" t="s">
        <v>360</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361</v>
      </c>
      <c r="AO746" s="26" t="s">
        <v>362</v>
      </c>
      <c r="AP746" s="26"/>
      <c r="AQ746" s="26"/>
      <c r="AR746" s="26"/>
      <c r="AS746" s="26" t="s">
        <v>363</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3">
      <c r="G747" s="26"/>
      <c r="H747" s="26"/>
      <c r="I747" s="26"/>
      <c r="J747" s="26"/>
      <c r="K747" s="26"/>
      <c r="L747" s="26"/>
      <c r="M747" s="26">
        <f>VLOOKUP(INT(W752),horaa2,AM720+2,FALSE)*(1)*AX737</f>
        <v>6975.17</v>
      </c>
      <c r="N747" s="26" t="s">
        <v>113</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304</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365</v>
      </c>
      <c r="AW747" s="26" t="s">
        <v>366</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3">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370</v>
      </c>
      <c r="AB748" s="26">
        <f ca="1">YEAR(AF735)-YEAR(I775)</f>
        <v>-13</v>
      </c>
      <c r="AC748" s="26"/>
      <c r="AD748" s="26"/>
      <c r="AE748" s="26"/>
      <c r="AF748" s="26"/>
      <c r="AG748" s="26"/>
      <c r="AH748" s="26">
        <v>40482</v>
      </c>
      <c r="AI748" s="26"/>
      <c r="AJ748" s="26"/>
      <c r="AK748" s="26"/>
      <c r="AL748" s="26"/>
      <c r="AM748" s="26"/>
      <c r="AN748" s="26" t="s">
        <v>371</v>
      </c>
      <c r="AO748" s="26" t="s">
        <v>372</v>
      </c>
      <c r="AP748" s="26"/>
      <c r="AQ748" s="26"/>
      <c r="AR748" s="26"/>
      <c r="AS748" s="26"/>
      <c r="AT748" s="26" t="s">
        <v>373</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59</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3">
      <c r="G749" s="26"/>
      <c r="H749" s="26"/>
      <c r="I749" s="26"/>
      <c r="J749" s="26"/>
      <c r="K749" s="26"/>
      <c r="L749" s="26"/>
      <c r="M749" s="26">
        <f>L786</f>
        <v>0</v>
      </c>
      <c r="N749" s="26" t="e">
        <f>#REF!</f>
        <v>#REF!</v>
      </c>
      <c r="O749" s="26"/>
      <c r="P749" s="26"/>
      <c r="Q749" s="26"/>
      <c r="R749" s="26"/>
      <c r="S749" s="26"/>
      <c r="T749" s="26"/>
      <c r="U749" s="26"/>
      <c r="V749" s="26" t="s">
        <v>376</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377</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378</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3">
      <c r="G750" s="26"/>
      <c r="H750" s="26"/>
      <c r="I750" s="26"/>
      <c r="J750" s="26"/>
      <c r="K750" s="26"/>
      <c r="L750" s="26"/>
      <c r="M750" s="26">
        <f>(M747+M748)*S706</f>
        <v>345.57084730999998</v>
      </c>
      <c r="N750" s="26" t="e">
        <f>#REF!</f>
        <v>#REF!</v>
      </c>
      <c r="O750" s="26"/>
      <c r="P750" s="26"/>
      <c r="Q750" s="26"/>
      <c r="R750" s="26"/>
      <c r="S750" s="26"/>
      <c r="T750" s="26"/>
      <c r="U750" s="26"/>
      <c r="V750" s="26" t="s">
        <v>379</v>
      </c>
      <c r="W750" s="26">
        <v>0</v>
      </c>
      <c r="X750" s="26"/>
      <c r="Y750" s="26"/>
      <c r="Z750" s="26"/>
      <c r="AA750" s="26"/>
      <c r="AB750" s="26"/>
      <c r="AC750" s="26" t="s">
        <v>360</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380</v>
      </c>
      <c r="AO750" s="26" t="s">
        <v>381</v>
      </c>
      <c r="AP750" s="26"/>
      <c r="AQ750" s="26"/>
      <c r="AR750" s="26"/>
      <c r="AS750" s="26"/>
      <c r="AT750" s="26"/>
      <c r="AU750" s="26"/>
      <c r="AV750" s="26"/>
      <c r="AW750" s="26"/>
      <c r="AX750" s="26"/>
      <c r="AY750" s="26"/>
      <c r="AZ750" s="26"/>
      <c r="BA750" s="26"/>
      <c r="BB750" s="26"/>
      <c r="BC750" s="26"/>
      <c r="BD750" s="26"/>
      <c r="BE750" s="26" t="s">
        <v>59</v>
      </c>
      <c r="BF750" s="26" t="s">
        <v>382</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3">
      <c r="G751" s="26"/>
      <c r="H751" s="26"/>
      <c r="I751" s="26"/>
      <c r="J751" s="26"/>
      <c r="K751" s="26"/>
      <c r="L751" s="26"/>
      <c r="M751" s="26">
        <f>L788</f>
        <v>0</v>
      </c>
      <c r="N751" s="26" t="e">
        <f>#REF!</f>
        <v>#REF!</v>
      </c>
      <c r="O751" s="26"/>
      <c r="P751" s="26"/>
      <c r="Q751" s="26"/>
      <c r="R751" s="26"/>
      <c r="S751" s="26"/>
      <c r="T751" s="26"/>
      <c r="U751" s="26"/>
      <c r="V751" s="26"/>
      <c r="W751" s="26"/>
      <c r="X751" s="26"/>
      <c r="Y751" s="26"/>
      <c r="Z751" s="26" t="s">
        <v>383</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384</v>
      </c>
      <c r="AU751" s="26" t="s">
        <v>385</v>
      </c>
      <c r="AV751" s="26"/>
      <c r="AW751" s="26"/>
      <c r="AX751" s="26"/>
      <c r="AY751" s="26"/>
      <c r="AZ751" s="26"/>
      <c r="BA751" s="26"/>
      <c r="BB751" s="26"/>
      <c r="BC751" s="26"/>
      <c r="BD751" s="26"/>
      <c r="BE751" s="26"/>
      <c r="BF751" s="26" t="s">
        <v>386</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3">
      <c r="G752" s="26"/>
      <c r="H752" s="26"/>
      <c r="I752" s="26"/>
      <c r="J752" s="26"/>
      <c r="K752" s="26"/>
      <c r="L752" s="26"/>
      <c r="M752" s="26">
        <f>SUM(M747:M750)*BB774</f>
        <v>0</v>
      </c>
      <c r="N752" s="26" t="str">
        <f>K789</f>
        <v>גמול חינוך מיוחד</v>
      </c>
      <c r="O752" s="26"/>
      <c r="P752" s="26"/>
      <c r="Q752" s="26"/>
      <c r="R752" s="26"/>
      <c r="S752" s="26"/>
      <c r="T752" s="26"/>
      <c r="U752" s="26"/>
      <c r="V752" s="26" t="s">
        <v>257</v>
      </c>
      <c r="W752" s="26">
        <f>BB771</f>
        <v>33</v>
      </c>
      <c r="X752" s="26"/>
      <c r="Y752" s="26"/>
      <c r="Z752" s="26" t="s">
        <v>387</v>
      </c>
      <c r="AA752" s="26" t="e">
        <f ca="1">G974*AA751</f>
        <v>#REF!</v>
      </c>
      <c r="AB752" s="26"/>
      <c r="AC752" s="26"/>
      <c r="AD752" s="26"/>
      <c r="AE752" s="26"/>
      <c r="AF752" s="26"/>
      <c r="AG752" s="26"/>
      <c r="AH752" s="26"/>
      <c r="AI752" s="26"/>
      <c r="AJ752" s="26">
        <f>ROUND((AF735-AJ751)/365.25,2)</f>
        <v>0.08</v>
      </c>
      <c r="AK752" s="26"/>
      <c r="AL752" s="26"/>
      <c r="AM752" s="26"/>
      <c r="AN752" s="26" t="s">
        <v>388</v>
      </c>
      <c r="AO752" s="26" t="s">
        <v>389</v>
      </c>
      <c r="AP752" s="26"/>
      <c r="AQ752" s="26"/>
      <c r="AR752" s="26"/>
      <c r="AS752" s="26" t="s">
        <v>390</v>
      </c>
      <c r="AT752" s="26"/>
      <c r="AU752" s="26" t="e">
        <f>E947</f>
        <v>#REF!</v>
      </c>
      <c r="AV752" s="26" t="s">
        <v>391</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3">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392</v>
      </c>
      <c r="AA753" s="26"/>
      <c r="AB753" s="26"/>
      <c r="AC753" s="26"/>
      <c r="AD753" s="26" t="s">
        <v>393</v>
      </c>
      <c r="AE753" s="26" t="s">
        <v>394</v>
      </c>
      <c r="AF753" s="26"/>
      <c r="AG753" s="26"/>
      <c r="AH753" s="26"/>
      <c r="AI753" s="26"/>
      <c r="AJ753" s="26"/>
      <c r="AK753" s="26"/>
      <c r="AL753" s="26"/>
      <c r="AM753" s="26"/>
      <c r="AN753" s="26">
        <v>22</v>
      </c>
      <c r="AO753" s="26">
        <v>43</v>
      </c>
      <c r="AP753" s="26"/>
      <c r="AQ753" s="26"/>
      <c r="AR753" s="26"/>
      <c r="AS753" s="26" t="s">
        <v>59</v>
      </c>
      <c r="AT753" s="26">
        <v>12</v>
      </c>
      <c r="AU753" s="26" t="s">
        <v>395</v>
      </c>
      <c r="AV753" s="26" t="e">
        <f>12*AU752</f>
        <v>#REF!</v>
      </c>
      <c r="AW753" s="26"/>
      <c r="AX753" s="26"/>
      <c r="AY753" s="26"/>
      <c r="AZ753" s="26"/>
      <c r="BA753" s="26" t="s">
        <v>59</v>
      </c>
      <c r="BB753" s="26"/>
      <c r="BC753" s="26"/>
      <c r="BD753" s="26"/>
      <c r="BE753" s="26" t="s">
        <v>396</v>
      </c>
      <c r="BF753" s="26"/>
      <c r="BG753" s="26"/>
      <c r="BH753" s="26"/>
      <c r="BI753" s="26"/>
      <c r="BJ753" s="26"/>
      <c r="BK753" s="26"/>
      <c r="BL753" s="26" t="s">
        <v>397</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3">
      <c r="G754" s="26"/>
      <c r="H754" s="26"/>
      <c r="I754" s="26"/>
      <c r="J754" s="26"/>
      <c r="K754" s="26"/>
      <c r="L754" s="26"/>
      <c r="M754" s="26"/>
      <c r="N754" s="26"/>
      <c r="O754" s="26"/>
      <c r="P754" s="26"/>
      <c r="Q754" s="26"/>
      <c r="R754" s="26"/>
      <c r="S754" s="26"/>
      <c r="T754" s="26"/>
      <c r="U754" s="26"/>
      <c r="V754" s="26" t="s">
        <v>400</v>
      </c>
      <c r="W754" s="26">
        <v>1</v>
      </c>
      <c r="X754" s="26"/>
      <c r="Y754" s="26"/>
      <c r="Z754" s="26" t="e">
        <f>IF(#REF!&gt;0,#REF!/'[1]נתוני מס'!N16,0)</f>
        <v>#REF!</v>
      </c>
      <c r="AA754" s="26" t="s">
        <v>401</v>
      </c>
      <c r="AB754" s="26" t="s">
        <v>402</v>
      </c>
      <c r="AC754" s="26" t="s">
        <v>198</v>
      </c>
      <c r="AD754" s="26"/>
      <c r="AE754" s="26" t="e">
        <f>#REF!</f>
        <v>#REF!</v>
      </c>
      <c r="AF754" s="26"/>
      <c r="AG754" s="26"/>
      <c r="AH754" s="26"/>
      <c r="AI754" s="26"/>
      <c r="AJ754" s="26"/>
      <c r="AK754" s="26"/>
      <c r="AL754" s="26"/>
      <c r="AM754" s="26"/>
      <c r="AN754" s="26" t="s">
        <v>403</v>
      </c>
      <c r="AO754" s="26" t="s">
        <v>404</v>
      </c>
      <c r="AP754" s="26"/>
      <c r="AQ754" s="26"/>
      <c r="AR754" s="26"/>
      <c r="AS754" s="26" t="s">
        <v>405</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406</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3">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407</v>
      </c>
      <c r="AB755" s="26" t="s">
        <v>408</v>
      </c>
      <c r="AC755" s="26" t="s">
        <v>71</v>
      </c>
      <c r="AD755" s="26"/>
      <c r="AE755" s="26"/>
      <c r="AF755" s="26" t="s">
        <v>409</v>
      </c>
      <c r="AG755" s="26">
        <f>IF(AF707=AC754,0.01%,0)</f>
        <v>0</v>
      </c>
      <c r="AH755" s="26"/>
      <c r="AI755" s="26"/>
      <c r="AJ755" s="26" t="s">
        <v>351</v>
      </c>
      <c r="AK755" s="26"/>
      <c r="AL755" s="26"/>
      <c r="AM755" s="26"/>
      <c r="AN755" s="26">
        <v>23</v>
      </c>
      <c r="AO755" s="26">
        <v>44</v>
      </c>
      <c r="AP755" s="26"/>
      <c r="AQ755" s="26"/>
      <c r="AR755" s="26"/>
      <c r="AS755" s="26"/>
      <c r="AT755" s="26"/>
      <c r="AU755" s="26" t="s">
        <v>410</v>
      </c>
      <c r="AV755" s="26" t="e">
        <f ca="1">BA758</f>
        <v>#REF!</v>
      </c>
      <c r="AW755" s="26"/>
      <c r="AX755" s="26" t="s">
        <v>411</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3">
      <c r="G756" s="26"/>
      <c r="H756" s="26"/>
      <c r="I756" s="26"/>
      <c r="J756" s="26"/>
      <c r="K756" s="26"/>
      <c r="L756" s="26"/>
      <c r="M756" s="26">
        <f>Y714*M742</f>
        <v>0</v>
      </c>
      <c r="N756" s="26" t="str">
        <f>K793</f>
        <v xml:space="preserve">גמול יעוץ </v>
      </c>
      <c r="O756" s="26"/>
      <c r="P756" s="26"/>
      <c r="Q756" s="26"/>
      <c r="R756" s="26"/>
      <c r="S756" s="26"/>
      <c r="T756" s="26"/>
      <c r="U756" s="26"/>
      <c r="V756" s="26" t="s">
        <v>412</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413</v>
      </c>
      <c r="AO756" s="26" t="s">
        <v>414</v>
      </c>
      <c r="AP756" s="26"/>
      <c r="AQ756" s="26"/>
      <c r="AR756" s="26"/>
      <c r="AS756" s="26"/>
      <c r="AT756" s="26"/>
      <c r="AU756" s="26"/>
      <c r="AV756" s="26"/>
      <c r="AW756" s="26"/>
      <c r="AX756" s="26" t="s">
        <v>415</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3">
      <c r="G757" s="26"/>
      <c r="H757" s="26"/>
      <c r="I757" s="26"/>
      <c r="J757" s="26"/>
      <c r="K757" s="26"/>
      <c r="L757" s="26"/>
      <c r="M757" s="26">
        <f>SUM(M747:M750)*BB778</f>
        <v>0</v>
      </c>
      <c r="N757" s="26" t="str">
        <f>K794</f>
        <v>גמול ניהול /סגנות/גננות</v>
      </c>
      <c r="O757" s="26"/>
      <c r="P757" s="26"/>
      <c r="Q757" s="26" t="s">
        <v>59</v>
      </c>
      <c r="R757" s="26"/>
      <c r="S757" s="26" t="e">
        <f>(1-#REF!/#REF!)*#REF!</f>
        <v>#REF!</v>
      </c>
      <c r="T757" s="26"/>
      <c r="U757" s="26" t="s">
        <v>417</v>
      </c>
      <c r="V757" s="26"/>
      <c r="W757" s="26"/>
      <c r="X757" s="26"/>
      <c r="Y757" s="26"/>
      <c r="Z757" s="26"/>
      <c r="AA757" s="26" t="s">
        <v>418</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386</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3">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419</v>
      </c>
      <c r="W758" s="26" t="e">
        <f ca="1">E947+(E963+E964+E965)/12</f>
        <v>#REF!</v>
      </c>
      <c r="X758" s="26"/>
      <c r="Y758" s="26"/>
      <c r="Z758" s="26"/>
      <c r="AA758" s="26"/>
      <c r="AB758" s="26" t="s">
        <v>59</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3">
      <c r="G759" s="26"/>
      <c r="H759" s="26"/>
      <c r="I759" s="26"/>
      <c r="J759" s="26"/>
      <c r="K759" s="26"/>
      <c r="L759" s="26"/>
      <c r="M759" s="26"/>
      <c r="N759" s="26"/>
      <c r="O759" s="26"/>
      <c r="P759" s="26"/>
      <c r="Q759" s="26" t="s">
        <v>59</v>
      </c>
      <c r="R759" s="26"/>
      <c r="S759" s="26" t="e">
        <f>S758*2</f>
        <v>#REF!</v>
      </c>
      <c r="T759" s="26"/>
      <c r="U759" s="26"/>
      <c r="V759" s="26" t="s">
        <v>421</v>
      </c>
      <c r="W759" s="26" t="e">
        <f ca="1">E947+(E964+E965)/12</f>
        <v>#REF!</v>
      </c>
      <c r="X759" s="26"/>
      <c r="Y759" s="26"/>
      <c r="Z759" s="26"/>
      <c r="AA759" s="26"/>
      <c r="AB759" s="26" t="s">
        <v>59</v>
      </c>
      <c r="AC759" s="26"/>
      <c r="AD759" s="26"/>
      <c r="AE759" s="26"/>
      <c r="AF759" s="26"/>
      <c r="AG759" s="26"/>
      <c r="AH759" s="26"/>
      <c r="AI759" s="26"/>
      <c r="AJ759" s="26"/>
      <c r="AK759" s="26"/>
      <c r="AL759" s="26"/>
      <c r="AM759" s="26"/>
      <c r="AN759" s="26" t="s">
        <v>422</v>
      </c>
      <c r="AO759" s="26" t="s">
        <v>423</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3">
      <c r="G760" s="26"/>
      <c r="H760" s="26"/>
      <c r="I760" s="26"/>
      <c r="J760" s="26"/>
      <c r="K760" s="26"/>
      <c r="L760" s="26"/>
      <c r="M760" s="26"/>
      <c r="N760" s="26"/>
      <c r="O760" s="26"/>
      <c r="P760" s="26"/>
      <c r="Q760" s="26"/>
      <c r="R760" s="26"/>
      <c r="S760" s="26"/>
      <c r="T760" s="26"/>
      <c r="U760" s="26"/>
      <c r="V760" s="26" t="s">
        <v>424</v>
      </c>
      <c r="W760" s="26" t="e">
        <f>E947</f>
        <v>#REF!</v>
      </c>
      <c r="X760" s="26"/>
      <c r="Y760" s="26"/>
      <c r="Z760" s="26"/>
      <c r="AA760" s="26"/>
      <c r="AB760" s="26" t="s">
        <v>59</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3">
      <c r="G761" s="26"/>
      <c r="H761" s="26"/>
      <c r="I761" s="26"/>
      <c r="J761" s="26"/>
      <c r="K761" s="26"/>
      <c r="L761" s="26"/>
      <c r="M761" s="26"/>
      <c r="N761" s="26"/>
      <c r="O761" s="26"/>
      <c r="P761" s="26"/>
      <c r="Q761" s="26"/>
      <c r="R761" s="26"/>
      <c r="S761" s="26"/>
      <c r="T761" s="26"/>
      <c r="U761" s="26"/>
      <c r="V761" s="26" t="s">
        <v>59</v>
      </c>
      <c r="W761" s="26"/>
      <c r="X761" s="26"/>
      <c r="Y761" s="26"/>
      <c r="Z761" s="26"/>
      <c r="AA761" s="26"/>
      <c r="AB761" s="26" t="s">
        <v>59</v>
      </c>
      <c r="AC761" s="26"/>
      <c r="AD761" s="26"/>
      <c r="AE761" s="26"/>
      <c r="AF761" s="26"/>
      <c r="AG761" s="26"/>
      <c r="AH761" s="26"/>
      <c r="AI761" s="26"/>
      <c r="AJ761" s="26"/>
      <c r="AK761" s="26"/>
      <c r="AL761" s="26"/>
      <c r="AM761" s="26"/>
      <c r="AN761" s="26" t="s">
        <v>425</v>
      </c>
      <c r="AO761" s="26" t="s">
        <v>426</v>
      </c>
      <c r="AP761" s="26"/>
      <c r="AQ761" s="26"/>
      <c r="AR761" s="26"/>
      <c r="AS761" s="26"/>
      <c r="AT761" s="26"/>
      <c r="AU761" s="26"/>
      <c r="AV761" s="26"/>
      <c r="AW761" s="26"/>
      <c r="AX761" s="26"/>
      <c r="AY761" s="26"/>
      <c r="AZ761" s="26" t="s">
        <v>427</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3">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3">
      <c r="G763" s="26"/>
      <c r="H763" s="26"/>
      <c r="I763" s="26"/>
      <c r="J763" s="26"/>
      <c r="K763" s="26"/>
      <c r="L763" s="26"/>
      <c r="M763" s="26"/>
      <c r="N763" s="26"/>
      <c r="O763" s="26"/>
      <c r="P763" s="26"/>
      <c r="Q763" s="26"/>
      <c r="R763" s="26"/>
      <c r="S763" s="26"/>
      <c r="T763" s="26"/>
      <c r="U763" s="26"/>
      <c r="V763" s="26" t="s">
        <v>430</v>
      </c>
      <c r="W763" s="26"/>
      <c r="X763" s="26" t="s">
        <v>424</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3">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3">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3">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3">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3">
      <c r="G768" s="26"/>
      <c r="H768" s="26"/>
      <c r="I768" s="26"/>
      <c r="J768" s="26"/>
      <c r="K768" s="26"/>
      <c r="L768" s="26"/>
      <c r="M768" s="26">
        <f>L806</f>
        <v>0</v>
      </c>
      <c r="N768" s="26" t="s">
        <v>251</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431</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3">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3">
      <c r="G770" s="26"/>
      <c r="H770" s="26"/>
      <c r="I770" s="26"/>
      <c r="J770" s="26"/>
      <c r="K770" s="26"/>
      <c r="L770" s="26"/>
      <c r="M770" s="26">
        <f>SUM(M747:M768)*'[1]נתוני מס'!L22*(1+'[1]נתוני מס'!L23)</f>
        <v>366.65056266641858</v>
      </c>
      <c r="N770" s="26" t="s">
        <v>271</v>
      </c>
      <c r="O770" s="26"/>
      <c r="P770" s="26"/>
      <c r="Q770" s="26"/>
      <c r="R770" s="26" t="s">
        <v>432</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433</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3">
      <c r="G771" s="26"/>
      <c r="H771" s="26"/>
      <c r="I771" s="26"/>
      <c r="J771" s="26"/>
      <c r="K771" s="26"/>
      <c r="L771" s="26"/>
      <c r="M771" s="26">
        <f>SUM(M747:M770)</f>
        <v>8167.7263640795791</v>
      </c>
      <c r="N771" s="26" t="s">
        <v>279</v>
      </c>
      <c r="O771" s="26"/>
      <c r="P771" s="26"/>
      <c r="Q771" s="26"/>
      <c r="R771" s="26" t="s">
        <v>59</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3">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434</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3">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275</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3">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3">
      <c r="G775" s="26"/>
      <c r="H775" s="26" t="s">
        <v>575</v>
      </c>
      <c r="I775" s="26">
        <f ca="1">TODAY()</f>
        <v>45311</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436</v>
      </c>
      <c r="BB775" s="26" t="s">
        <v>84</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3">
      <c r="G776" s="26"/>
      <c r="H776" s="26" t="s">
        <v>576</v>
      </c>
      <c r="I776" s="26" t="s">
        <v>577</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379</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3">
      <c r="G777" s="26"/>
      <c r="H777" s="26"/>
      <c r="I777" s="26"/>
      <c r="J777" s="26"/>
      <c r="K777" s="26"/>
      <c r="L777" s="26" t="s">
        <v>69</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437</v>
      </c>
      <c r="BB777" s="26" t="s">
        <v>115</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3">
      <c r="G778" s="26"/>
      <c r="H778" s="26" t="s">
        <v>578</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438</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3">
      <c r="G779" s="26"/>
      <c r="H779" s="26">
        <f t="shared" ref="H779:H790" si="18">G47*$C$59</f>
        <v>0</v>
      </c>
      <c r="I779" s="26">
        <f>VLOOKUP(INT(1),horaa2,$AJ$711+2,FALSE)*$AB$747</f>
        <v>0</v>
      </c>
      <c r="J779" s="26"/>
      <c r="K779" s="26" t="s">
        <v>79</v>
      </c>
      <c r="L779" s="26">
        <f>VLOOKUP(INT(G946),ofek4,BB770+2,FALSE)*(1+AB746/100)*T719*T705</f>
        <v>14401.146916299316</v>
      </c>
      <c r="M779" s="26"/>
      <c r="N779" s="26"/>
      <c r="O779" s="26"/>
      <c r="P779" s="26"/>
      <c r="Q779" s="26"/>
      <c r="R779" s="26" t="s">
        <v>407</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439</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3">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441</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3">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446</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447</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3">
      <c r="G782" s="26"/>
      <c r="H782" s="26">
        <f t="shared" si="18"/>
        <v>0</v>
      </c>
      <c r="I782" s="26"/>
      <c r="J782" s="26"/>
      <c r="K782" s="26" t="s">
        <v>94</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251</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3">
      <c r="G783" s="26"/>
      <c r="H783" s="26">
        <f t="shared" si="18"/>
        <v>0</v>
      </c>
      <c r="I783" s="26"/>
      <c r="J783" s="26"/>
      <c r="K783" s="26" t="s">
        <v>102</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376</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3">
      <c r="G784" s="26"/>
      <c r="H784" s="26">
        <f t="shared" si="18"/>
        <v>0</v>
      </c>
      <c r="I784" s="26"/>
      <c r="J784" s="26"/>
      <c r="K784" s="26" t="s">
        <v>87</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3">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3">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449</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3">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451</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3">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3">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3">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3">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3">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3">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3">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3">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3">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59</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3">
      <c r="G797" s="26"/>
      <c r="H797" s="26" t="s">
        <v>277</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3">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3">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454</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3">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59</v>
      </c>
      <c r="AG800" s="26"/>
      <c r="AH800" s="26"/>
      <c r="AI800" s="26"/>
      <c r="AJ800" s="26"/>
      <c r="AK800" s="26"/>
      <c r="AL800" s="26"/>
      <c r="AM800" s="26"/>
      <c r="AN800" s="26"/>
      <c r="AO800" s="26"/>
      <c r="AP800" s="26"/>
      <c r="AQ800" s="26"/>
      <c r="AR800" s="26"/>
      <c r="AS800" s="26"/>
      <c r="AT800" s="26" t="s">
        <v>455</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456</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3">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457</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59</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3">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458</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3">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459</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3">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460</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3">
      <c r="G805" s="26"/>
      <c r="H805" s="26"/>
      <c r="I805" s="26"/>
      <c r="J805" s="26"/>
      <c r="K805" s="26"/>
      <c r="L805" s="26">
        <f>L779*BB782</f>
        <v>0</v>
      </c>
      <c r="M805" s="26"/>
      <c r="N805" s="26"/>
      <c r="O805" s="26"/>
      <c r="P805" s="26" t="s">
        <v>59</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461</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3">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462</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3">
      <c r="G807" s="26"/>
      <c r="H807" s="26"/>
      <c r="I807" s="26"/>
      <c r="J807" s="26"/>
      <c r="K807" s="26" t="s">
        <v>579</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463</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3">
      <c r="G808" s="26"/>
      <c r="H808" s="26"/>
      <c r="I808" s="26"/>
      <c r="J808" s="26"/>
      <c r="K808" s="26"/>
      <c r="L808" s="26"/>
      <c r="M808" s="26"/>
      <c r="N808" s="26"/>
      <c r="O808" s="26"/>
      <c r="P808" s="26" t="s">
        <v>59</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464</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3">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285</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3">
      <c r="G810" s="26"/>
      <c r="H810" s="26"/>
      <c r="I810" s="26"/>
      <c r="J810" s="26"/>
      <c r="K810" s="26"/>
      <c r="L810" s="26"/>
      <c r="M810" s="26"/>
      <c r="N810" s="26"/>
      <c r="O810" s="26"/>
      <c r="P810" s="26"/>
      <c r="Q810" s="26"/>
      <c r="R810" s="26"/>
      <c r="S810" s="26"/>
      <c r="T810" s="26"/>
      <c r="U810" s="26"/>
      <c r="V810" s="26"/>
      <c r="W810" s="26"/>
      <c r="X810" s="26" t="s">
        <v>87</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59</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3">
      <c r="G811" s="26"/>
      <c r="H811" s="26"/>
      <c r="I811" s="26"/>
      <c r="J811" s="26"/>
      <c r="K811" s="26"/>
      <c r="L811" s="26"/>
      <c r="M811" s="26"/>
      <c r="N811" s="26"/>
      <c r="O811" s="26"/>
      <c r="P811" s="26"/>
      <c r="Q811" s="26"/>
      <c r="R811" s="26"/>
      <c r="S811" s="26"/>
      <c r="T811" s="26"/>
      <c r="U811" s="26"/>
      <c r="V811" s="26"/>
      <c r="W811" s="26" t="s">
        <v>59</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465</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3">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204</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3">
      <c r="G813" s="26"/>
      <c r="H813" s="26"/>
      <c r="I813" s="26"/>
      <c r="J813" s="26"/>
      <c r="K813" s="26"/>
      <c r="L813" s="26"/>
      <c r="M813" s="26"/>
      <c r="N813" s="26"/>
      <c r="O813" s="26"/>
      <c r="P813" s="26"/>
      <c r="Q813" s="26"/>
      <c r="R813" s="26"/>
      <c r="S813" s="26"/>
      <c r="T813" s="26"/>
      <c r="U813" s="26"/>
      <c r="V813" s="26" t="s">
        <v>59</v>
      </c>
      <c r="W813" s="26" t="s">
        <v>59</v>
      </c>
      <c r="X813" s="26" t="s">
        <v>112</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3">
      <c r="G814" s="26"/>
      <c r="H814" s="26"/>
      <c r="I814" s="26"/>
      <c r="J814" s="26"/>
      <c r="K814" s="26"/>
      <c r="L814" s="26"/>
      <c r="M814" s="26"/>
      <c r="N814" s="26"/>
      <c r="O814" s="26"/>
      <c r="P814" s="26"/>
      <c r="Q814" s="26"/>
      <c r="R814" s="26"/>
      <c r="S814" s="26"/>
      <c r="T814" s="26"/>
      <c r="U814" s="26"/>
      <c r="V814" s="26"/>
      <c r="W814" s="26"/>
      <c r="X814" s="26" t="s">
        <v>119</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466</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3">
      <c r="G815" s="26"/>
      <c r="H815" s="26"/>
      <c r="I815" s="26"/>
      <c r="J815" s="26"/>
      <c r="K815" s="26"/>
      <c r="L815" s="26"/>
      <c r="M815" s="26"/>
      <c r="N815" s="26"/>
      <c r="O815" s="26"/>
      <c r="P815" s="26"/>
      <c r="Q815" s="26"/>
      <c r="R815" s="26"/>
      <c r="S815" s="26"/>
      <c r="T815" s="26"/>
      <c r="U815" s="26"/>
      <c r="V815" s="26"/>
      <c r="W815" s="26"/>
      <c r="X815" s="26" t="s">
        <v>452</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3">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3">
      <c r="G817" s="26"/>
      <c r="H817" s="26"/>
      <c r="I817" s="26"/>
      <c r="J817" s="26"/>
      <c r="K817" s="26"/>
      <c r="L817" s="26"/>
      <c r="M817" s="26"/>
      <c r="N817" s="26"/>
      <c r="O817" s="26"/>
      <c r="P817" s="26"/>
      <c r="Q817" s="26">
        <v>2001</v>
      </c>
      <c r="R817" s="26"/>
      <c r="S817" s="26"/>
      <c r="T817" s="26"/>
      <c r="U817" s="26"/>
      <c r="V817" s="26"/>
      <c r="W817" s="26"/>
      <c r="X817" s="26" t="s">
        <v>128</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3">
      <c r="G818" s="26"/>
      <c r="H818" s="26"/>
      <c r="I818" s="26"/>
      <c r="J818" s="26"/>
      <c r="K818" s="26"/>
      <c r="L818" s="26"/>
      <c r="M818" s="26"/>
      <c r="N818" s="26"/>
      <c r="O818" s="26"/>
      <c r="P818" s="26"/>
      <c r="Q818" s="26"/>
      <c r="R818" s="26"/>
      <c r="S818" s="26"/>
      <c r="T818" s="26"/>
      <c r="U818" s="26"/>
      <c r="V818" s="26"/>
      <c r="W818" s="26"/>
      <c r="X818" s="26" t="s">
        <v>150</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3">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3">
      <c r="G820" s="26"/>
      <c r="H820" s="26"/>
      <c r="I820" s="26"/>
      <c r="J820" s="26"/>
      <c r="K820" s="26"/>
      <c r="L820" s="26"/>
      <c r="M820" s="26"/>
      <c r="N820" s="26"/>
      <c r="O820" s="26"/>
      <c r="P820" s="26"/>
      <c r="Q820" s="26" t="s">
        <v>450</v>
      </c>
      <c r="R820" s="26"/>
      <c r="S820" s="26"/>
      <c r="T820" s="26"/>
      <c r="U820" s="26"/>
      <c r="V820" s="26"/>
      <c r="W820" s="26"/>
      <c r="X820" s="26" t="s">
        <v>65</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3">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3">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3">
      <c r="G823" s="26"/>
      <c r="H823" s="26"/>
      <c r="I823" s="26"/>
      <c r="J823" s="26"/>
      <c r="K823" s="26"/>
      <c r="L823" s="26"/>
      <c r="M823" s="26" t="s">
        <v>59</v>
      </c>
      <c r="N823" s="26" t="s">
        <v>59</v>
      </c>
      <c r="O823" s="26"/>
      <c r="P823" s="26"/>
      <c r="Q823" s="26"/>
      <c r="R823" s="26"/>
      <c r="S823" s="26"/>
      <c r="T823" s="26"/>
      <c r="U823" s="26"/>
      <c r="V823" s="26"/>
      <c r="W823" s="26"/>
      <c r="X823" s="26" t="s">
        <v>101</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3">
      <c r="G824" s="26"/>
      <c r="H824" s="26"/>
      <c r="I824" s="26"/>
      <c r="J824" s="26"/>
      <c r="K824" s="26" t="s">
        <v>59</v>
      </c>
      <c r="L824" s="26"/>
      <c r="M824" s="26" t="s">
        <v>59</v>
      </c>
      <c r="N824" s="26" t="s">
        <v>59</v>
      </c>
      <c r="O824" s="26"/>
      <c r="P824" s="26"/>
      <c r="Q824" s="26"/>
      <c r="R824" s="26"/>
      <c r="S824" s="26"/>
      <c r="T824" s="26"/>
      <c r="U824" s="26"/>
      <c r="V824" s="26"/>
      <c r="W824" s="26"/>
      <c r="X824" s="26" t="s">
        <v>210</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3">
      <c r="G825" s="26"/>
      <c r="H825" s="26"/>
      <c r="I825" s="26"/>
      <c r="J825" s="26"/>
      <c r="K825" s="26"/>
      <c r="L825" s="26"/>
      <c r="M825" s="26" t="s">
        <v>59</v>
      </c>
      <c r="N825" s="26" t="s">
        <v>59</v>
      </c>
      <c r="O825" s="26"/>
      <c r="P825" s="26"/>
      <c r="Q825" s="26"/>
      <c r="R825" s="26"/>
      <c r="S825" s="26"/>
      <c r="T825" s="26"/>
      <c r="U825" s="26"/>
      <c r="V825" s="26"/>
      <c r="W825" s="26"/>
      <c r="X825" s="26" t="s">
        <v>228</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3">
      <c r="G826" s="26"/>
      <c r="H826" s="26"/>
      <c r="I826" s="26"/>
      <c r="J826" s="26"/>
      <c r="K826" s="26"/>
      <c r="L826" s="26"/>
      <c r="M826" s="26" t="s">
        <v>59</v>
      </c>
      <c r="N826" s="26" t="s">
        <v>59</v>
      </c>
      <c r="O826" s="26"/>
      <c r="P826" s="26"/>
      <c r="Q826" s="26"/>
      <c r="R826" s="26"/>
      <c r="S826" s="26"/>
      <c r="T826" s="26"/>
      <c r="U826" s="26"/>
      <c r="V826" s="26"/>
      <c r="W826" s="26"/>
      <c r="X826" s="26" t="s">
        <v>238</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3">
      <c r="G827" s="26"/>
      <c r="H827" s="26"/>
      <c r="I827" s="26"/>
      <c r="J827" s="26"/>
      <c r="K827" s="26"/>
      <c r="L827" s="26"/>
      <c r="M827" s="26" t="s">
        <v>59</v>
      </c>
      <c r="N827" s="26" t="s">
        <v>59</v>
      </c>
      <c r="O827" s="26"/>
      <c r="P827" s="26"/>
      <c r="Q827" s="26"/>
      <c r="R827" s="26"/>
      <c r="S827" s="26"/>
      <c r="T827" s="26"/>
      <c r="U827" s="26"/>
      <c r="V827" s="26"/>
      <c r="W827" s="26"/>
      <c r="X827" s="26" t="s">
        <v>250</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3">
      <c r="G828" s="26"/>
      <c r="H828" s="26"/>
      <c r="I828" s="26"/>
      <c r="J828" s="26"/>
      <c r="K828" s="26"/>
      <c r="L828" s="26"/>
      <c r="M828" s="26" t="s">
        <v>59</v>
      </c>
      <c r="N828" s="26" t="s">
        <v>59</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3">
      <c r="G829" s="26"/>
      <c r="H829" s="26"/>
      <c r="I829" s="26"/>
      <c r="J829" s="26"/>
      <c r="K829" s="26"/>
      <c r="L829" s="26"/>
      <c r="M829" s="26" t="s">
        <v>59</v>
      </c>
      <c r="N829" s="26" t="s">
        <v>59</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3">
      <c r="G830" s="26"/>
      <c r="H830" s="26"/>
      <c r="I830" s="26"/>
      <c r="J830" s="26"/>
      <c r="K830" s="26" t="s">
        <v>59</v>
      </c>
      <c r="L830" s="26"/>
      <c r="M830" s="26" t="s">
        <v>59</v>
      </c>
      <c r="N830" s="26" t="s">
        <v>59</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3">
      <c r="G831" s="26"/>
      <c r="H831" s="26"/>
      <c r="I831" s="26"/>
      <c r="J831" s="26"/>
      <c r="K831" s="26"/>
      <c r="L831" s="26"/>
      <c r="M831" s="26" t="s">
        <v>59</v>
      </c>
      <c r="N831" s="26" t="s">
        <v>59</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3">
      <c r="G832" s="26"/>
      <c r="H832" s="26"/>
      <c r="I832" s="26"/>
      <c r="J832" s="26"/>
      <c r="K832" s="26"/>
      <c r="L832" s="26"/>
      <c r="M832" s="26" t="s">
        <v>59</v>
      </c>
      <c r="N832" s="26" t="s">
        <v>59</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3">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3">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3">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3">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3">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3">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3">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3">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3">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3">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3">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3">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3">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3">
      <c r="G846" s="26"/>
      <c r="H846" s="26"/>
      <c r="I846" s="26" t="s">
        <v>59</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3">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3">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3">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3">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3">
      <c r="G851" s="26"/>
      <c r="H851" s="26"/>
      <c r="I851" s="26"/>
      <c r="J851" s="26"/>
      <c r="K851" s="26"/>
      <c r="L851" s="26"/>
      <c r="M851" s="26" t="s">
        <v>469</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3">
      <c r="G852" s="26"/>
      <c r="H852" s="26"/>
      <c r="I852" s="26"/>
      <c r="J852" s="26"/>
      <c r="K852" s="26"/>
      <c r="L852" s="26" t="s">
        <v>59</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3">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3">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3">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3">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3">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3">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3">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3">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3">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3">
      <c r="G862" s="26"/>
      <c r="H862" s="26"/>
      <c r="I862" s="26"/>
      <c r="J862" s="26"/>
      <c r="K862" s="26"/>
      <c r="L862" s="26"/>
      <c r="M862" s="26" t="s">
        <v>59</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3">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3">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3">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3">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3">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3">
      <c r="G868" s="26"/>
      <c r="H868" s="26" t="s">
        <v>496</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3">
      <c r="G869" s="26"/>
      <c r="H869" s="26" t="s">
        <v>59</v>
      </c>
      <c r="I869" s="26"/>
      <c r="J869" s="26"/>
      <c r="K869" s="26" t="s">
        <v>59</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3">
      <c r="G870" s="26"/>
      <c r="H870" s="26" t="s">
        <v>59</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3">
      <c r="G871" s="26"/>
      <c r="H871" s="26" t="s">
        <v>59</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3">
      <c r="G872" s="26"/>
      <c r="H872" s="26" t="s">
        <v>59</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3">
      <c r="G873" s="26"/>
      <c r="H873" s="26" t="s">
        <v>499</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3">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3">
      <c r="G875" s="26"/>
      <c r="H875" s="26"/>
      <c r="I875" s="26"/>
      <c r="J875" s="26"/>
      <c r="K875" s="26" t="s">
        <v>580</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3">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3">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3">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3">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3">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3">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3">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3">
      <c r="G883" s="26"/>
      <c r="H883" s="26"/>
      <c r="I883" s="26"/>
      <c r="J883" s="26"/>
      <c r="K883" s="26"/>
      <c r="L883" s="26" t="s">
        <v>59</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3">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3">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3">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3">
      <c r="G887" s="26"/>
      <c r="H887" s="26"/>
      <c r="I887" s="26"/>
      <c r="J887" s="26"/>
      <c r="K887" s="26">
        <f ca="1">(F927-O710)*2.4%</f>
        <v>-0.31128000000000017</v>
      </c>
      <c r="L887" s="26" t="s">
        <v>467</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3">
      <c r="G888" s="26"/>
      <c r="H888" s="26">
        <f ca="1">DATE(YEAR(I775),MONTH(I775)-MONTH(I775)+1,DAY(I775)-DAY(I775)+1)</f>
        <v>45292</v>
      </c>
      <c r="I888" s="26"/>
      <c r="J888" s="26"/>
      <c r="K888" s="26">
        <f>IF(W719=0,0,IF(F927-O710+BB780&gt;13,13,F927-O710+BB780))</f>
        <v>0</v>
      </c>
      <c r="L888" s="26" t="s">
        <v>468</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3">
      <c r="G889" s="26"/>
      <c r="H889" s="26"/>
      <c r="I889" s="26"/>
      <c r="J889" s="26"/>
      <c r="K889" s="26"/>
      <c r="L889" s="26" t="s">
        <v>470</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3">
      <c r="G890" s="26"/>
      <c r="H890" s="26"/>
      <c r="I890" s="26">
        <f>IF(G944-Z716&lt;3,0,IF(G944-Z716&lt;6,1,IF(G944-Z716&lt;9,2,IF(G944-Z716&lt;12,H882+3,IF(G944-Z716&lt;13,H882+4,IF(G944-Z716&lt;16,H882+5,IF(G944-Z716&lt;19,H882+6,IF(G944-Z716&lt;22,H882+7))))))))</f>
        <v>0</v>
      </c>
      <c r="J890" s="26"/>
      <c r="K890" s="26"/>
      <c r="L890" s="26" t="s">
        <v>471</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3">
      <c r="G891" s="26"/>
      <c r="H891" s="26"/>
      <c r="I891" s="26"/>
      <c r="J891" s="26"/>
      <c r="K891" s="26"/>
      <c r="L891" s="26" t="s">
        <v>472</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3">
      <c r="G892" s="26"/>
      <c r="H892" s="26" t="e">
        <f>E929</f>
        <v>#REF!</v>
      </c>
      <c r="I892" s="26"/>
      <c r="J892" s="26"/>
      <c r="K892" s="26"/>
      <c r="L892" s="26" t="s">
        <v>473</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3">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3">
      <c r="G894" s="26"/>
      <c r="H894" s="26" t="s">
        <v>59</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3">
      <c r="G895" s="26"/>
      <c r="H895" s="26" t="s">
        <v>59</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3">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4.5" thickBot="1" x14ac:dyDescent="0.35">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5" thickTop="1" thickBot="1" x14ac:dyDescent="0.35">
      <c r="B898" s="68" t="s">
        <v>535</v>
      </c>
      <c r="C898" s="69" t="e">
        <f>#REF!</f>
        <v>#REF!</v>
      </c>
      <c r="G898" s="26"/>
      <c r="H898" s="26"/>
      <c r="I898" s="26" t="s">
        <v>59</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4.5" thickTop="1" x14ac:dyDescent="0.3">
      <c r="E899" s="70" t="s">
        <v>514</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 thickBot="1" x14ac:dyDescent="0.4">
      <c r="C900" s="71" t="s">
        <v>531</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 thickBot="1" x14ac:dyDescent="0.4">
      <c r="D901" s="72" t="s">
        <v>533</v>
      </c>
      <c r="E901" s="73" t="s">
        <v>198</v>
      </c>
      <c r="G901" s="26" t="s">
        <v>493</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5.5" thickTop="1" x14ac:dyDescent="0.5">
      <c r="E902" s="75" t="s">
        <v>519</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3">
      <c r="B903" s="76"/>
      <c r="E903" s="77" t="s">
        <v>521</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4.5" thickBot="1" x14ac:dyDescent="0.35">
      <c r="E904" s="78" t="s">
        <v>523</v>
      </c>
      <c r="F904" s="79" t="e">
        <f>#REF!</f>
        <v>#REF!</v>
      </c>
      <c r="G904" s="26" t="s">
        <v>495</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5" thickTop="1" thickBot="1" x14ac:dyDescent="0.35">
      <c r="B905" s="80" t="s">
        <v>541</v>
      </c>
      <c r="C905" s="81" t="s">
        <v>542</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4.5" thickTop="1" x14ac:dyDescent="0.3">
      <c r="B906" s="83" t="e">
        <f>#REF!</f>
        <v>#REF!</v>
      </c>
      <c r="C906" s="84" t="s">
        <v>543</v>
      </c>
      <c r="D906" s="85" t="s">
        <v>59</v>
      </c>
      <c r="E906" s="86" t="e">
        <f>#REF!/#REF!*E911</f>
        <v>#REF!</v>
      </c>
      <c r="F906" s="87" t="s">
        <v>526</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x14ac:dyDescent="0.3">
      <c r="B907" s="88" t="e">
        <f>#REF!</f>
        <v>#REF!</v>
      </c>
      <c r="C907" s="89" t="s">
        <v>544</v>
      </c>
      <c r="D907" s="90" t="s">
        <v>59</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4.5" thickBot="1" x14ac:dyDescent="0.35">
      <c r="B908" s="88" t="e">
        <f>#REF!</f>
        <v>#REF!</v>
      </c>
      <c r="C908" s="93" t="s">
        <v>546</v>
      </c>
      <c r="D908" s="94" t="str">
        <f>E107&amp;"   :   מספר חודשים"</f>
        <v xml:space="preserve">   :   מספר חודשים</v>
      </c>
      <c r="E908" s="91" t="e">
        <f>#REF!/#REF!*E911</f>
        <v>#REF!</v>
      </c>
      <c r="F908" s="95" t="s">
        <v>530</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 thickTop="1" thickBot="1" x14ac:dyDescent="0.35">
      <c r="B909" s="88" t="e">
        <f>#REF!</f>
        <v>#REF!</v>
      </c>
      <c r="C909" s="93" t="s">
        <v>547</v>
      </c>
      <c r="D909" s="94" t="e">
        <f>IF(#REF!=0,#REF!,INT(#REF!)&amp;" : ימי מחלה  לפדיון")</f>
        <v>#REF!</v>
      </c>
      <c r="E909" s="91" t="e">
        <f>#REF!/#REF!*E911</f>
        <v>#REF!</v>
      </c>
      <c r="F909" s="96" t="s">
        <v>532</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 thickTop="1" thickBot="1" x14ac:dyDescent="0.35">
      <c r="B910" s="97" t="e">
        <f>#REF!</f>
        <v>#REF!</v>
      </c>
      <c r="C910" s="98" t="s">
        <v>548</v>
      </c>
      <c r="D910" s="99" t="e">
        <f>IF(#REF!=0,#REF!,TRUNC(#REF!,2)&amp; "  :מספר משכורות")</f>
        <v>#REF!</v>
      </c>
      <c r="E910" s="100" t="e">
        <f>#REF!/#REF!*E911</f>
        <v>#REF!</v>
      </c>
      <c r="F910" s="101" t="s">
        <v>534</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6.5" thickTop="1" thickBot="1" x14ac:dyDescent="0.4">
      <c r="B911" s="102" t="e">
        <f>SUM(B906:B910)</f>
        <v>#REF!</v>
      </c>
      <c r="C911" s="103" t="s">
        <v>549</v>
      </c>
      <c r="D911" s="104" t="s">
        <v>550</v>
      </c>
      <c r="E911" s="105" t="e">
        <f>#REF!</f>
        <v>#REF!</v>
      </c>
      <c r="F911" s="67" t="s">
        <v>536</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6.5" thickTop="1" thickBot="1" x14ac:dyDescent="0.4">
      <c r="B912" s="106"/>
      <c r="C912" s="106" t="s">
        <v>551</v>
      </c>
      <c r="D912" s="107"/>
      <c r="E912" s="108" t="e">
        <f>E911-#REF!</f>
        <v>#REF!</v>
      </c>
      <c r="F912" s="109" t="s">
        <v>537</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9" thickTop="1" thickBot="1" x14ac:dyDescent="0.45">
      <c r="B913" s="110"/>
      <c r="C913" s="110" t="e">
        <f>"   החזרי מס במהלך   " &amp;#REF!&amp;" שנות פריסת המס  "</f>
        <v>#REF!</v>
      </c>
      <c r="D913" s="111"/>
      <c r="E913" s="112" t="e">
        <f>#REF!</f>
        <v>#REF!</v>
      </c>
      <c r="F913" s="113" t="s">
        <v>538</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5" thickTop="1" thickBot="1" x14ac:dyDescent="0.35">
      <c r="B914" s="114" t="e">
        <f>#REF!</f>
        <v>#REF!</v>
      </c>
      <c r="C914" s="115" t="s">
        <v>552</v>
      </c>
      <c r="D914" s="116" t="e">
        <f>#REF!&amp;" : ימי חופש  לפדיון"</f>
        <v>#REF!</v>
      </c>
      <c r="E914" s="114" t="e">
        <f>#REF!-BF740</f>
        <v>#REF!</v>
      </c>
      <c r="F914" s="117" t="s">
        <v>539</v>
      </c>
      <c r="G914" s="26" t="s">
        <v>502</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x14ac:dyDescent="0.3">
      <c r="C915" s="118" t="s">
        <v>553</v>
      </c>
      <c r="D915" s="119"/>
      <c r="E915" s="120"/>
      <c r="F915" s="120" t="e">
        <f>IF(#REF!=0,0,#REF!-#REF!)</f>
        <v>#REF!</v>
      </c>
      <c r="G915" s="26" t="s">
        <v>503</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4.5" thickBot="1" x14ac:dyDescent="0.35">
      <c r="C916" s="121" t="s">
        <v>555</v>
      </c>
      <c r="D916" s="122"/>
      <c r="E916" s="123"/>
      <c r="F916" s="123"/>
      <c r="G916" s="26" t="s">
        <v>504</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4.5" thickTop="1" x14ac:dyDescent="0.3">
      <c r="B917" s="124" t="s">
        <v>556</v>
      </c>
      <c r="C917" s="125"/>
      <c r="D917" s="126"/>
      <c r="E917" s="127" t="e">
        <f>#REF!</f>
        <v>#REF!</v>
      </c>
      <c r="F917" s="127" t="s">
        <v>540</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4.5" thickBot="1" x14ac:dyDescent="0.35">
      <c r="B918" s="128" t="s">
        <v>557</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4.5" thickTop="1" x14ac:dyDescent="0.3">
      <c r="B919" s="76"/>
      <c r="C919" s="130" t="s">
        <v>559</v>
      </c>
      <c r="D919" s="107"/>
      <c r="E919" s="131"/>
      <c r="G919" s="26">
        <f ca="1">N738</f>
        <v>13.33</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5" x14ac:dyDescent="0.35">
      <c r="B920" s="132" t="s">
        <v>59</v>
      </c>
      <c r="C920" s="130" t="s">
        <v>560</v>
      </c>
      <c r="D920" s="107"/>
      <c r="E920" s="131"/>
      <c r="F920" s="133" t="s">
        <v>545</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3">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3">
      <c r="E922" s="10" t="s">
        <v>59</v>
      </c>
      <c r="G922" s="26" t="s">
        <v>59</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3">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3">
      <c r="G924" s="26"/>
      <c r="H924" s="26" t="s">
        <v>581</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3">
      <c r="G925" s="26" t="s">
        <v>513</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 thickBot="1" x14ac:dyDescent="0.4">
      <c r="B926" s="133" t="s">
        <v>545</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9" thickTop="1" thickBot="1" x14ac:dyDescent="0.45">
      <c r="E927" s="62" t="s">
        <v>554</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 thickTop="1" thickBot="1" x14ac:dyDescent="0.35">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5" thickTop="1" thickBot="1" x14ac:dyDescent="0.35">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4.5" thickTop="1" x14ac:dyDescent="0.3">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3">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3">
      <c r="E932" s="138">
        <v>0</v>
      </c>
      <c r="G932" s="26"/>
      <c r="H932" s="26" t="s">
        <v>59</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3">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3">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3">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3">
      <c r="C936" s="43" t="str">
        <f>K792</f>
        <v>גמול הכנה לבגרות</v>
      </c>
      <c r="D936" s="140">
        <f>W750</f>
        <v>0</v>
      </c>
      <c r="E936" s="138">
        <f>BB776</f>
        <v>0</v>
      </c>
      <c r="F936" s="10" t="s">
        <v>59</v>
      </c>
      <c r="G936" s="26"/>
      <c r="H936" s="26" t="s">
        <v>582</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3">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3">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3">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3">
      <c r="C940" s="43" t="str">
        <f>K803</f>
        <v>ותק הדרכה לגמול פיקוח/הדרכה</v>
      </c>
      <c r="D940" s="140" t="e">
        <f>IF(G103=AC755,0,K876*43%)</f>
        <v>#REF!</v>
      </c>
      <c r="E940" s="138" t="e">
        <f>I903*E929</f>
        <v>#REF!</v>
      </c>
      <c r="F940" s="10" t="s">
        <v>59</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3">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3">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3">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4.5" thickBot="1" x14ac:dyDescent="0.35">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 thickTop="1" thickBot="1" x14ac:dyDescent="0.35">
      <c r="E945" s="138">
        <v>0</v>
      </c>
      <c r="F945" s="141" t="s">
        <v>561</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5" thickTop="1" thickBot="1" x14ac:dyDescent="0.35">
      <c r="B946" t="s">
        <v>59</v>
      </c>
      <c r="C946" s="142" t="s">
        <v>563</v>
      </c>
      <c r="D946" s="143" t="e">
        <f>D951</f>
        <v>#REF!</v>
      </c>
      <c r="E946" s="144" t="e">
        <f>SUM(E929:E945)</f>
        <v>#REF!</v>
      </c>
      <c r="F946" s="145" t="s">
        <v>562</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9" thickTop="1" thickBot="1" x14ac:dyDescent="0.45">
      <c r="B947" s="10" t="s">
        <v>59</v>
      </c>
      <c r="C947" s="146" t="s">
        <v>583</v>
      </c>
      <c r="D947" s="147"/>
      <c r="E947" s="148" t="e">
        <f>(E946*G944+D946*G945)/G946</f>
        <v>#REF!</v>
      </c>
      <c r="F947" s="149" t="s">
        <v>584</v>
      </c>
      <c r="G947" s="26" t="s">
        <v>545</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6.5" thickTop="1" thickBot="1" x14ac:dyDescent="0.4">
      <c r="B948" s="133" t="s">
        <v>545</v>
      </c>
      <c r="G948" s="26" t="s">
        <v>59</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4.5" thickTop="1" x14ac:dyDescent="0.3">
      <c r="B949" s="10"/>
      <c r="C949" s="10" t="s">
        <v>585</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4.5" thickBot="1" x14ac:dyDescent="0.35">
      <c r="B950" s="10" t="s">
        <v>586</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5" thickTop="1" thickBot="1" x14ac:dyDescent="0.35">
      <c r="B951" s="10" t="s">
        <v>587</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4.5" thickTop="1" x14ac:dyDescent="0.3">
      <c r="B952" s="63" t="s">
        <v>59</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3">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3">
      <c r="B954" s="63" t="s">
        <v>59</v>
      </c>
      <c r="C954" s="65" t="s">
        <v>59</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3">
      <c r="B955" s="63" t="s">
        <v>59</v>
      </c>
      <c r="C955" s="65" t="s">
        <v>59</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3">
      <c r="B956" s="63"/>
      <c r="G956" s="26" t="s">
        <v>69</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3">
      <c r="B957" s="63"/>
      <c r="F957" s="77" t="s">
        <v>68</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3">
      <c r="B958" s="63"/>
      <c r="F958" s="77" t="s">
        <v>588</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4.5" thickBot="1" x14ac:dyDescent="0.35">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5" thickTop="1" thickBot="1" x14ac:dyDescent="0.35">
      <c r="B960" s="63"/>
      <c r="D960" s="154" t="s">
        <v>589</v>
      </c>
      <c r="E960" s="155"/>
      <c r="F960" s="156" t="s">
        <v>590</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 thickTop="1" thickBot="1" x14ac:dyDescent="0.35">
      <c r="B961" s="63"/>
      <c r="D961" s="157" t="s">
        <v>591</v>
      </c>
      <c r="E961" s="158"/>
      <c r="F961" s="159" t="s">
        <v>592</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4.5" thickTop="1" x14ac:dyDescent="0.3">
      <c r="B962" s="63"/>
      <c r="D962" s="160" t="s">
        <v>593</v>
      </c>
      <c r="E962" s="161" t="e">
        <f>E947</f>
        <v>#REF!</v>
      </c>
      <c r="F962" s="162" t="s">
        <v>594</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3">
      <c r="B963" s="63"/>
      <c r="D963" s="163" t="s">
        <v>595</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3">
      <c r="B964" s="63"/>
      <c r="D964" s="163" t="s">
        <v>94</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4.5" thickBot="1" x14ac:dyDescent="0.35">
      <c r="B965" s="63"/>
      <c r="D965" s="166" t="s">
        <v>102</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 thickTop="1" thickBot="1" x14ac:dyDescent="0.35">
      <c r="B966" s="63"/>
      <c r="D966" s="169"/>
      <c r="F966" s="165" t="s">
        <v>596</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5" thickTop="1" thickBot="1" x14ac:dyDescent="0.35">
      <c r="B967" s="63"/>
      <c r="D967" s="170"/>
      <c r="E967" s="171" t="s">
        <v>59</v>
      </c>
      <c r="F967" s="172" t="s">
        <v>597</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4.5" thickTop="1" x14ac:dyDescent="0.3">
      <c r="B968" s="63"/>
      <c r="D968" s="170"/>
      <c r="E968" s="173" t="s">
        <v>598</v>
      </c>
      <c r="F968" s="174" t="s">
        <v>325</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3">
      <c r="B969" s="63"/>
      <c r="D969" s="170"/>
      <c r="E969" s="175" t="e">
        <f>G967+G968</f>
        <v>#REF!</v>
      </c>
      <c r="F969" s="174" t="s">
        <v>599</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3">
      <c r="B970" s="63"/>
      <c r="D970" s="170"/>
      <c r="E970" s="176"/>
      <c r="F970" s="177" t="s">
        <v>600</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3">
      <c r="B971" s="63"/>
      <c r="D971" s="170"/>
      <c r="E971" s="176"/>
      <c r="F971" s="177" t="s">
        <v>601</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3">
      <c r="B972" s="63"/>
      <c r="D972" s="170"/>
      <c r="E972" s="178" t="s">
        <v>602</v>
      </c>
      <c r="F972" s="177" t="s">
        <v>603</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59</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3">
      <c r="B973" s="63"/>
      <c r="D973" s="170"/>
      <c r="E973" s="178" t="s">
        <v>224</v>
      </c>
      <c r="F973" s="174" t="s">
        <v>604</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5" thickBot="1" x14ac:dyDescent="0.45">
      <c r="B974" s="63"/>
      <c r="D974" s="179" t="s">
        <v>605</v>
      </c>
      <c r="E974" s="180" t="e">
        <f ca="1">BI737</f>
        <v>#REF!</v>
      </c>
      <c r="F974" s="181" t="s">
        <v>382</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5" thickTop="1" thickBot="1" x14ac:dyDescent="0.35">
      <c r="B975" s="63"/>
      <c r="D975" s="182" t="s">
        <v>606</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4.5" thickTop="1" x14ac:dyDescent="0.3">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5" x14ac:dyDescent="0.35">
      <c r="B977" s="63"/>
      <c r="D977"/>
      <c r="E977" s="133" t="s">
        <v>545</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3">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3">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3">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3">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3">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3">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3">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sheetProtection sheet="1" objects="1" scenarios="1"/>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B2">
    <cfRule type="expression" dxfId="91" priority="37" stopIfTrue="1">
      <formula>$AB$17=AE44</formula>
    </cfRule>
  </conditionalFormatting>
  <conditionalFormatting sqref="B905 E905">
    <cfRule type="expression" dxfId="90" priority="41" stopIfTrue="1">
      <formula>$AF$707=Z754</formula>
    </cfRule>
  </conditionalFormatting>
  <conditionalFormatting sqref="B35:C35">
    <cfRule type="expression" dxfId="89" priority="10" stopIfTrue="1">
      <formula>$C$19=$F$18</formula>
    </cfRule>
  </conditionalFormatting>
  <conditionalFormatting sqref="B906:E906 B910:E910">
    <cfRule type="expression" dxfId="88" priority="86" stopIfTrue="1">
      <formula>$W$742=$S$735</formula>
    </cfRule>
  </conditionalFormatting>
  <conditionalFormatting sqref="B912:E913">
    <cfRule type="expression" dxfId="87" priority="85" stopIfTrue="1">
      <formula>$E$913=0</formula>
    </cfRule>
  </conditionalFormatting>
  <conditionalFormatting sqref="B27:F33">
    <cfRule type="expression" dxfId="86" priority="14" stopIfTrue="1">
      <formula>$C$19=$F$18</formula>
    </cfRule>
  </conditionalFormatting>
  <conditionalFormatting sqref="B917:F918">
    <cfRule type="expression" dxfId="85" priority="47" stopIfTrue="1">
      <formula>#REF!=0</formula>
    </cfRule>
    <cfRule type="expression" dxfId="84" priority="48" stopIfTrue="1">
      <formula>#REF!=0</formula>
    </cfRule>
  </conditionalFormatting>
  <conditionalFormatting sqref="C905">
    <cfRule type="expression" dxfId="83" priority="43" stopIfTrue="1">
      <formula>$AF$707=AC754</formula>
    </cfRule>
  </conditionalFormatting>
  <conditionalFormatting sqref="C24:E24 C28:E28">
    <cfRule type="expression" dxfId="82" priority="8" stopIfTrue="1">
      <formula>$C$10="א-ו"</formula>
    </cfRule>
    <cfRule type="expression" dxfId="81" priority="6" stopIfTrue="1">
      <formula>$C$10="חטיבת ביניים"</formula>
    </cfRule>
    <cfRule type="expression" dxfId="80" priority="7" stopIfTrue="1">
      <formula>$C$10="ז-ח"</formula>
    </cfRule>
  </conditionalFormatting>
  <conditionalFormatting sqref="C919:E920">
    <cfRule type="expression" dxfId="79" priority="49" stopIfTrue="1">
      <formula>$E$913=0</formula>
    </cfRule>
  </conditionalFormatting>
  <conditionalFormatting sqref="C24:F24 C23:E23 B25:F26">
    <cfRule type="expression" dxfId="78" priority="15" stopIfTrue="1">
      <formula>$C$19=$F$19</formula>
    </cfRule>
  </conditionalFormatting>
  <conditionalFormatting sqref="C915:F916">
    <cfRule type="expression" dxfId="77" priority="83" stopIfTrue="1">
      <formula>$F$915=0</formula>
    </cfRule>
  </conditionalFormatting>
  <conditionalFormatting sqref="D905">
    <cfRule type="expression" dxfId="76" priority="42" stopIfTrue="1">
      <formula>$AF$707=AC754</formula>
    </cfRule>
  </conditionalFormatting>
  <conditionalFormatting sqref="E930:E945">
    <cfRule type="cellIs" dxfId="75" priority="90" stopIfTrue="1" operator="equal">
      <formula>0</formula>
    </cfRule>
  </conditionalFormatting>
  <conditionalFormatting sqref="E968:E969">
    <cfRule type="expression" dxfId="74" priority="88" stopIfTrue="1">
      <formula>$E$969&lt;0</formula>
    </cfRule>
  </conditionalFormatting>
  <conditionalFormatting sqref="E972:E974 D974">
    <cfRule type="expression" dxfId="73" priority="87" stopIfTrue="1">
      <formula>$E$974&lt;=0</formula>
    </cfRule>
  </conditionalFormatting>
  <conditionalFormatting sqref="E903:F903 F958:F959">
    <cfRule type="expression" dxfId="72" priority="46" stopIfTrue="1">
      <formula>$F$905&gt;67</formula>
    </cfRule>
  </conditionalFormatting>
  <conditionalFormatting sqref="E904:F904">
    <cfRule type="expression" dxfId="71" priority="56" stopIfTrue="1">
      <formula>$F$904&lt;64</formula>
    </cfRule>
  </conditionalFormatting>
  <conditionalFormatting sqref="F24">
    <cfRule type="expression" dxfId="70" priority="19" stopIfTrue="1">
      <formula>$C$39=0</formula>
    </cfRule>
  </conditionalFormatting>
  <conditionalFormatting sqref="F28">
    <cfRule type="expression" dxfId="69" priority="18" stopIfTrue="1">
      <formula>$C$39=0</formula>
    </cfRule>
  </conditionalFormatting>
  <conditionalFormatting sqref="F30">
    <cfRule type="expression" dxfId="68" priority="17" stopIfTrue="1">
      <formula>$C$39=0</formula>
    </cfRule>
  </conditionalFormatting>
  <conditionalFormatting sqref="F33">
    <cfRule type="expression" dxfId="67" priority="16" stopIfTrue="1">
      <formula>$C$39=0</formula>
    </cfRule>
  </conditionalFormatting>
  <conditionalFormatting sqref="F905">
    <cfRule type="expression" dxfId="66" priority="39" stopIfTrue="1">
      <formula>$AF$707=AC754</formula>
    </cfRule>
  </conditionalFormatting>
  <conditionalFormatting sqref="F907">
    <cfRule type="expression" dxfId="65" priority="62" stopIfTrue="1">
      <formula>$BB$786=0</formula>
    </cfRule>
  </conditionalFormatting>
  <conditionalFormatting sqref="G901 E902:F902">
    <cfRule type="expression" dxfId="64" priority="53" stopIfTrue="1">
      <formula>$W$742=$S$735</formula>
    </cfRule>
  </conditionalFormatting>
  <conditionalFormatting sqref="G904">
    <cfRule type="expression" dxfId="63" priority="40" stopIfTrue="1">
      <formula>$AF$707=AC754</formula>
    </cfRule>
  </conditionalFormatting>
  <conditionalFormatting sqref="G906">
    <cfRule type="expression" dxfId="62" priority="61" stopIfTrue="1">
      <formula>$G$906=0</formula>
    </cfRule>
  </conditionalFormatting>
  <conditionalFormatting sqref="G909 F910">
    <cfRule type="expression" dxfId="61" priority="52" stopIfTrue="1">
      <formula>$W$742=$S$735</formula>
    </cfRule>
  </conditionalFormatting>
  <conditionalFormatting sqref="G911 F912">
    <cfRule type="expression" dxfId="60" priority="54" stopIfTrue="1">
      <formula>$W$742=$S$735</formula>
    </cfRule>
  </conditionalFormatting>
  <conditionalFormatting sqref="G25:H25">
    <cfRule type="expression" dxfId="59" priority="5" stopIfTrue="1">
      <formula>$C$39=0</formula>
    </cfRule>
  </conditionalFormatting>
  <conditionalFormatting sqref="H21:H22 H23:I23 H24 H26:H30 I26:I32 I34">
    <cfRule type="expression" dxfId="58" priority="31" stopIfTrue="1">
      <formula>$C$39=0</formula>
    </cfRule>
  </conditionalFormatting>
  <conditionalFormatting sqref="H778">
    <cfRule type="expression" dxfId="57" priority="35" stopIfTrue="1">
      <formula>$C$59=0</formula>
    </cfRule>
    <cfRule type="expression" dxfId="56" priority="34" stopIfTrue="1">
      <formula>$C$59=1</formula>
    </cfRule>
  </conditionalFormatting>
  <conditionalFormatting sqref="H779:H791 Z810:Z827 I29:I31 N754 H797 X810:Y820 X821:X823 X824:Y825 X826:X827">
    <cfRule type="expression" dxfId="55" priority="45" stopIfTrue="1">
      <formula>$C$59=0</formula>
    </cfRule>
  </conditionalFormatting>
  <conditionalFormatting sqref="H779:H796 Z810:Z827">
    <cfRule type="expression" dxfId="54" priority="36" stopIfTrue="1">
      <formula>$C$54=1</formula>
    </cfRule>
  </conditionalFormatting>
  <conditionalFormatting sqref="H792:H796">
    <cfRule type="expression" dxfId="53" priority="33" stopIfTrue="1">
      <formula>$C$58=0</formula>
    </cfRule>
  </conditionalFormatting>
  <conditionalFormatting sqref="H867">
    <cfRule type="expression" dxfId="52" priority="38" stopIfTrue="1">
      <formula>$AF$707=AC754</formula>
    </cfRule>
  </conditionalFormatting>
  <conditionalFormatting sqref="H868:H870 G905 F906">
    <cfRule type="expression" dxfId="51" priority="63" stopIfTrue="1">
      <formula>$V$745&gt;0</formula>
    </cfRule>
  </conditionalFormatting>
  <conditionalFormatting sqref="H871">
    <cfRule type="expression" dxfId="50" priority="30" stopIfTrue="1">
      <formula>ROUND($H$871,2)=ROUND($G$908,2)</formula>
    </cfRule>
  </conditionalFormatting>
  <conditionalFormatting sqref="H873 G910 F911">
    <cfRule type="expression" dxfId="49" priority="32" stopIfTrue="1">
      <formula>$E$110&lt;&gt;0</formula>
    </cfRule>
  </conditionalFormatting>
  <conditionalFormatting sqref="H876 G913 F914">
    <cfRule type="expression" dxfId="48" priority="55" stopIfTrue="1">
      <formula>$W$742=$S$735</formula>
    </cfRule>
  </conditionalFormatting>
  <conditionalFormatting sqref="H879 G916 H924:H925">
    <cfRule type="expression" dxfId="47" priority="81" stopIfTrue="1">
      <formula>$Z$717&lt;100%</formula>
    </cfRule>
  </conditionalFormatting>
  <conditionalFormatting sqref="J21:J28 J30">
    <cfRule type="expression" dxfId="46" priority="2" stopIfTrue="1">
      <formula>$C$9=1</formula>
    </cfRule>
  </conditionalFormatting>
  <conditionalFormatting sqref="J21:J32">
    <cfRule type="expression" dxfId="45" priority="3" stopIfTrue="1">
      <formula>$C$39=0</formula>
    </cfRule>
  </conditionalFormatting>
  <conditionalFormatting sqref="J29">
    <cfRule type="expression" dxfId="44" priority="1" stopIfTrue="1">
      <formula>$C$59=0</formula>
    </cfRule>
  </conditionalFormatting>
  <conditionalFormatting sqref="J877 J879 J881 H887:I887 H888 I889 I891 G925 F926">
    <cfRule type="expression" dxfId="43" priority="79" stopIfTrue="1">
      <formula>$R$718=1</formula>
    </cfRule>
  </conditionalFormatting>
  <conditionalFormatting sqref="K118:K125 J126:K135">
    <cfRule type="expression" dxfId="42" priority="26" stopIfTrue="1">
      <formula>$Q$2=$M81</formula>
    </cfRule>
    <cfRule type="expression" dxfId="41" priority="25" stopIfTrue="1">
      <formula>$CC$12&lt;&gt;$C$5</formula>
    </cfRule>
    <cfRule type="expression" dxfId="40" priority="27" stopIfTrue="1">
      <formula>$C$39=0</formula>
    </cfRule>
  </conditionalFormatting>
  <conditionalFormatting sqref="K781">
    <cfRule type="expression" dxfId="39" priority="77" stopIfTrue="1">
      <formula>$L$781=0</formula>
    </cfRule>
  </conditionalFormatting>
  <conditionalFormatting sqref="K785">
    <cfRule type="expression" dxfId="38" priority="66" stopIfTrue="1">
      <formula>$S$705=0</formula>
    </cfRule>
  </conditionalFormatting>
  <conditionalFormatting sqref="K786">
    <cfRule type="expression" dxfId="37" priority="67" stopIfTrue="1">
      <formula>#REF!=0</formula>
    </cfRule>
  </conditionalFormatting>
  <conditionalFormatting sqref="K787">
    <cfRule type="expression" dxfId="36" priority="65" stopIfTrue="1">
      <formula>$S$706=0</formula>
    </cfRule>
  </conditionalFormatting>
  <conditionalFormatting sqref="K788">
    <cfRule type="expression" dxfId="35" priority="68" stopIfTrue="1">
      <formula>#REF!=0</formula>
    </cfRule>
  </conditionalFormatting>
  <conditionalFormatting sqref="K789">
    <cfRule type="expression" dxfId="34" priority="50" stopIfTrue="1">
      <formula>$BB$774=0</formula>
    </cfRule>
  </conditionalFormatting>
  <conditionalFormatting sqref="K790">
    <cfRule type="expression" dxfId="33" priority="69" stopIfTrue="1">
      <formula>$BB$775=$S$709</formula>
    </cfRule>
  </conditionalFormatting>
  <conditionalFormatting sqref="K792">
    <cfRule type="expression" dxfId="32" priority="51" stopIfTrue="1">
      <formula>$BB$776=0</formula>
    </cfRule>
  </conditionalFormatting>
  <conditionalFormatting sqref="K793">
    <cfRule type="expression" dxfId="31" priority="70" stopIfTrue="1">
      <formula>$Y$714=0</formula>
    </cfRule>
  </conditionalFormatting>
  <conditionalFormatting sqref="K794">
    <cfRule type="expression" dxfId="30" priority="72" stopIfTrue="1">
      <formula>$BB$778=0</formula>
    </cfRule>
  </conditionalFormatting>
  <conditionalFormatting sqref="K795:K802">
    <cfRule type="expression" dxfId="29" priority="64" stopIfTrue="1">
      <formula>$AW$722=0</formula>
    </cfRule>
  </conditionalFormatting>
  <conditionalFormatting sqref="K803">
    <cfRule type="expression" dxfId="28" priority="74" stopIfTrue="1">
      <formula>$W$719=0</formula>
    </cfRule>
  </conditionalFormatting>
  <conditionalFormatting sqref="K804">
    <cfRule type="expression" dxfId="27" priority="73" stopIfTrue="1">
      <formula>$W$739=0</formula>
    </cfRule>
  </conditionalFormatting>
  <conditionalFormatting sqref="K806">
    <cfRule type="expression" dxfId="26" priority="80" stopIfTrue="1">
      <formula>$BB$783=0</formula>
    </cfRule>
  </conditionalFormatting>
  <conditionalFormatting sqref="L205:L223 I206:J206 I207:I223">
    <cfRule type="expression" dxfId="25" priority="29" stopIfTrue="1">
      <formula>$C$39=0</formula>
    </cfRule>
    <cfRule type="expression" dxfId="24" priority="28" stopIfTrue="1">
      <formula>$Q$2=$M168</formula>
    </cfRule>
  </conditionalFormatting>
  <conditionalFormatting sqref="L777 G956 F957">
    <cfRule type="expression" dxfId="23" priority="89" stopIfTrue="1">
      <formula>$E$110&gt;0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R779 E901">
    <cfRule type="expression" dxfId="20" priority="93" stopIfTrue="1">
      <formula>$G$906&lt;&gt;0</formula>
    </cfRule>
  </conditionalFormatting>
  <conditionalFormatting sqref="S27:S34">
    <cfRule type="expression" dxfId="19" priority="11" stopIfTrue="1">
      <formula>$C$39=0</formula>
    </cfRule>
    <cfRule type="expression" dxfId="18" priority="9" stopIfTrue="1">
      <formula>$C$9=1</formula>
    </cfRule>
  </conditionalFormatting>
  <conditionalFormatting sqref="S720">
    <cfRule type="expression" dxfId="17" priority="71" stopIfTrue="1">
      <formula>#REF!=0</formula>
    </cfRule>
  </conditionalFormatting>
  <conditionalFormatting sqref="S747">
    <cfRule type="expression" dxfId="16" priority="76" stopIfTrue="1">
      <formula>$T$747=0</formula>
    </cfRule>
  </conditionalFormatting>
  <conditionalFormatting sqref="S757">
    <cfRule type="cellIs" dxfId="15" priority="57" stopIfTrue="1" operator="greaterThan">
      <formula>0</formula>
    </cfRule>
  </conditionalFormatting>
  <conditionalFormatting sqref="S60:AC60 Q61:AC106">
    <cfRule type="expression" dxfId="14" priority="22" stopIfTrue="1">
      <formula>$C$39=0</formula>
    </cfRule>
    <cfRule type="expression" dxfId="13" priority="21" stopIfTrue="1">
      <formula>$Q$2=$M94</formula>
    </cfRule>
  </conditionalFormatting>
  <conditionalFormatting sqref="T720 T747 L785:L790 L792:L806">
    <cfRule type="cellIs" dxfId="12" priority="75" stopIfTrue="1" operator="equal">
      <formula>0</formula>
    </cfRule>
  </conditionalFormatting>
  <conditionalFormatting sqref="T745:W745 C900:D900">
    <cfRule type="expression" dxfId="11" priority="84" stopIfTrue="1">
      <formula>$W$742=$S$735</formula>
    </cfRule>
  </conditionalFormatting>
  <conditionalFormatting sqref="T746:W746 S834:S860 H878 G915">
    <cfRule type="expression" dxfId="10" priority="82" stopIfTrue="1">
      <formula>$V$745&lt;=0</formula>
    </cfRule>
  </conditionalFormatting>
  <conditionalFormatting sqref="V732">
    <cfRule type="expression" dxfId="9" priority="44" stopIfTrue="1">
      <formula>$AF$707=AC754</formula>
    </cfRule>
  </conditionalFormatting>
  <conditionalFormatting sqref="V756:Y756">
    <cfRule type="expression" dxfId="8" priority="60" stopIfTrue="1">
      <formula>#REF!=0</formula>
    </cfRule>
  </conditionalFormatting>
  <conditionalFormatting sqref="Y722">
    <cfRule type="expression" dxfId="7" priority="59" stopIfTrue="1">
      <formula>AND(#REF!&lt;#REF!,#REF!&lt;#REF!)</formula>
    </cfRule>
  </conditionalFormatting>
  <conditionalFormatting sqref="Y723">
    <cfRule type="expression" dxfId="6" priority="58" stopIfTrue="1">
      <formula>AND(#REF!&lt;#REF!,#REF!&lt;#REF!)</formula>
    </cfRule>
  </conditionalFormatting>
  <conditionalFormatting sqref="Y724:Y725 Y728:Y731">
    <cfRule type="expression" dxfId="5" priority="94"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4" priority="78" stopIfTrue="1">
      <formula>$R$718=1</formula>
    </cfRule>
  </conditionalFormatting>
  <conditionalFormatting sqref="AO705:AP714">
    <cfRule type="expression" dxfId="3" priority="12" stopIfTrue="1">
      <formula>$L$776=$AO705</formula>
    </cfRule>
    <cfRule type="expression" dxfId="2" priority="13" stopIfTrue="1">
      <formula>$I$29=0</formula>
    </cfRule>
  </conditionalFormatting>
  <conditionalFormatting sqref="BA784">
    <cfRule type="expression" dxfId="1" priority="92" stopIfTrue="1">
      <formula>$BB$784&lt;0</formula>
    </cfRule>
  </conditionalFormatting>
  <conditionalFormatting sqref="BA785">
    <cfRule type="expression" dxfId="0" priority="91" stopIfTrue="1">
      <formula>$BB$785&lt;0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אבי יעקבסון</cp:lastModifiedBy>
  <cp:lastPrinted>2023-09-05T13:48:47Z</cp:lastPrinted>
  <dcterms:created xsi:type="dcterms:W3CDTF">2023-09-05T11:53:22Z</dcterms:created>
  <dcterms:modified xsi:type="dcterms:W3CDTF">2024-01-20T18:57:37Z</dcterms:modified>
</cp:coreProperties>
</file>