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User\Documents\ניהול הבית\ביתי\אופק חדש\מחשבונים\מעודכן\"/>
    </mc:Choice>
  </mc:AlternateContent>
  <xr:revisionPtr revIDLastSave="0" documentId="13_ncr:1_{B0286F7B-8FC6-4E21-850B-345A7DFFC12D}" xr6:coauthVersionLast="47" xr6:coauthVersionMax="47" xr10:uidLastSave="{00000000-0000-0000-0000-000000000000}"/>
  <bookViews>
    <workbookView xWindow="-120" yWindow="-120" windowWidth="20730" windowHeight="1116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3" i="3" l="1"/>
  <c r="G145" i="3"/>
  <c r="G142" i="3" s="1"/>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Q19" i="4"/>
  <c r="W81" i="4" s="1"/>
  <c r="BN20" i="4"/>
  <c r="BF22" i="4"/>
  <c r="BF27" i="4" s="1"/>
  <c r="BP22" i="4"/>
  <c r="BF23" i="4"/>
  <c r="BP23" i="4"/>
  <c r="BL24" i="4"/>
  <c r="BM25" i="4"/>
  <c r="BL26"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G733" i="4" l="1"/>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4" l="1"/>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70" i="3" s="1"/>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69" i="3" l="1"/>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W799" i="3"/>
  <c r="AX800" i="3"/>
  <c r="AW800" i="3" s="1"/>
  <c r="AQ717" i="4"/>
  <c r="BE722" i="4"/>
  <c r="L781" i="4"/>
  <c r="K781" i="4" s="1"/>
  <c r="AE743" i="4"/>
  <c r="AW798" i="4" s="1"/>
  <c r="BK741" i="4" s="1"/>
  <c r="BH741" i="4" s="1"/>
  <c r="R800" i="4"/>
  <c r="AW739" i="4"/>
  <c r="AX800" i="4"/>
  <c r="AW800" i="4" s="1"/>
  <c r="AW799" i="4" l="1"/>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<sst xmlns="http://schemas.openxmlformats.org/spreadsheetml/2006/main" count="2762" uniqueCount="612">
  <si>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</si>
  <si>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</si>
  <si>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</si>
  <si>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</si>
  <si>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</si>
  <si>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</si>
  <si>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</si>
  <si>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</si>
  <si>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</si>
  <si>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</si>
  <si>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</si>
  <si>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</si>
  <si>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</si>
  <si>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</si>
  <si>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</si>
  <si>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</si>
  <si>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</si>
  <si>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</si>
  <si>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</si>
  <si>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</si>
  <si>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</si>
  <si>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</si>
  <si>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</si>
  <si>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</si>
  <si>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</si>
  <si>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</si>
  <si>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</si>
  <si>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</si>
  <si>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</si>
  <si>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</si>
  <si>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</si>
  <si>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</si>
  <si>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</si>
  <si>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</si>
  <si>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</si>
  <si>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</si>
  <si>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</si>
  <si>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</si>
  <si>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</si>
  <si>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</si>
  <si>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</si>
  <si>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</si>
  <si>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</si>
  <si>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</si>
  <si>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</si>
  <si>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</si>
  <si>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</si>
  <si>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</si>
  <si>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</si>
  <si>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</si>
  <si>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</si>
  <si>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</si>
  <si>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</si>
  <si>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</si>
  <si>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</si>
  <si>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</si>
  <si>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</si>
  <si>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</si>
  <si>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</si>
  <si>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</si>
  <si>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</si>
  <si>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</si>
  <si>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</si>
  <si>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</si>
  <si>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</si>
  <si>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</si>
  <si>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</si>
  <si>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</si>
  <si>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</si>
  <si>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</si>
  <si>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</si>
  <si>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</si>
  <si>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</si>
  <si>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</si>
  <si>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</si>
  <si>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</si>
  <si>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</si>
  <si>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</si>
  <si>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</si>
  <si>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</si>
  <si>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</si>
  <si>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</si>
  <si>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</si>
  <si>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</si>
  <si>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</si>
  <si>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</si>
  <si>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</si>
  <si>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</si>
  <si>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</si>
  <si>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</si>
  <si>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</si>
  <si>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</si>
  <si>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</si>
  <si>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</si>
  <si>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</si>
  <si>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</si>
  <si>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</si>
  <si>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</si>
  <si>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</si>
  <si>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</si>
  <si>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</si>
  <si>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</si>
  <si>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</si>
  <si>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</si>
  <si>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</si>
  <si>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</si>
  <si>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</si>
  <si>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</si>
  <si>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</si>
  <si>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</si>
  <si>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</si>
  <si>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</si>
  <si>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</si>
  <si>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</si>
  <si>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</si>
  <si>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</si>
  <si>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</si>
  <si>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</si>
  <si>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</si>
  <si>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</si>
  <si>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</si>
  <si>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</si>
  <si>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</si>
  <si>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</si>
  <si>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</si>
  <si>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</si>
  <si>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</si>
  <si>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</si>
  <si>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</si>
  <si>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</si>
  <si>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</si>
  <si>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</si>
  <si>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</si>
  <si>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</si>
  <si>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</si>
  <si>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</si>
  <si>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</si>
  <si>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</si>
  <si>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</si>
  <si>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</si>
  <si>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</si>
  <si>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</si>
  <si>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</si>
  <si>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</si>
  <si>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</si>
  <si>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</si>
  <si>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</si>
  <si>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</si>
  <si>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</si>
  <si>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</si>
  <si>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</si>
  <si>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</si>
  <si>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</si>
  <si>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</si>
  <si>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</si>
  <si>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</si>
  <si>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</si>
  <si>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</si>
  <si>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</si>
  <si>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</si>
  <si>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</si>
  <si>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</si>
  <si>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</si>
  <si>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</si>
  <si>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</si>
  <si>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</si>
  <si>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</si>
  <si>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</si>
  <si>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</si>
  <si>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</si>
  <si>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</si>
  <si>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</si>
  <si>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</si>
  <si>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</si>
  <si>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</si>
  <si>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</si>
  <si>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</si>
  <si>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</si>
  <si>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</si>
  <si>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</si>
  <si>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</si>
  <si>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</si>
  <si>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</si>
  <si>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</si>
  <si>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</si>
  <si>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</si>
  <si>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</si>
  <si>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</si>
  <si>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</si>
  <si>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</si>
  <si>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</si>
  <si>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</si>
  <si>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</si>
  <si>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</si>
  <si>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</si>
  <si>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</si>
  <si>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</si>
  <si>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</si>
  <si>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</si>
  <si>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</si>
  <si>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</si>
  <si>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</si>
  <si>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</si>
  <si>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</si>
  <si>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</si>
  <si>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</si>
  <si>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</si>
  <si>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</si>
  <si>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</si>
  <si>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</si>
  <si>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</si>
  <si>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</si>
  <si>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</si>
  <si>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</si>
  <si>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</si>
  <si>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</si>
  <si>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</si>
  <si>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</si>
  <si>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</si>
  <si>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</si>
  <si>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</si>
  <si>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</si>
  <si>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</si>
  <si>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</si>
  <si>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</si>
  <si>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</si>
  <si>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</si>
  <si>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</si>
  <si>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</si>
  <si>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</si>
  <si>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</si>
  <si>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</si>
  <si>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</si>
  <si>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</si>
  <si>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</si>
  <si>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</si>
  <si>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</si>
  <si>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</si>
  <si>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</si>
  <si>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</si>
  <si>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</si>
  <si>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</si>
  <si>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</si>
  <si>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</si>
  <si>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</si>
  <si>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</si>
  <si>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</si>
  <si>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</si>
  <si>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</si>
  <si>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</si>
  <si>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</si>
  <si>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</si>
  <si>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</si>
  <si>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</si>
  <si>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</si>
  <si>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</si>
  <si>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</si>
  <si>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</si>
  <si>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</si>
  <si>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</si>
  <si>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</si>
  <si>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</si>
  <si>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</si>
  <si>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</si>
  <si>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</si>
  <si>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</si>
  <si>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</si>
  <si>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</si>
  <si>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</si>
  <si>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</si>
  <si>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</si>
  <si>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</si>
  <si>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</si>
  <si>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</si>
  <si>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</si>
  <si>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</si>
  <si>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</si>
  <si>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</si>
  <si>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</si>
  <si>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</si>
  <si>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</si>
  <si>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</si>
  <si>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</si>
  <si>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</si>
  <si>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</si>
  <si>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</si>
  <si>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</si>
  <si>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</si>
  <si>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</si>
  <si>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</si>
  <si>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</si>
  <si>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</si>
  <si>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</si>
  <si>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</si>
  <si>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</si>
  <si>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</si>
  <si>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</si>
  <si>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</si>
  <si>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</si>
  <si>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</si>
  <si>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</si>
  <si>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</si>
  <si>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</si>
  <si>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</si>
  <si>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</si>
  <si>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</si>
  <si>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</si>
  <si>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</si>
  <si>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</si>
  <si>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</si>
  <si>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</si>
  <si>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</si>
  <si>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</si>
  <si>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</si>
  <si>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</si>
  <si>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</si>
  <si>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</si>
  <si>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</si>
  <si>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</si>
  <si>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</si>
  <si>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</si>
  <si>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</si>
  <si>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</si>
  <si>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</si>
  <si>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</si>
  <si>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</si>
  <si>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</si>
  <si>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</si>
  <si>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</si>
  <si>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</si>
  <si>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</si>
  <si>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</si>
  <si>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</si>
  <si>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</si>
  <si>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</si>
  <si>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</si>
  <si>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</si>
  <si>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</si>
  <si>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</si>
  <si>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</si>
  <si>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</si>
  <si>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</si>
  <si>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</si>
  <si>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</si>
  <si>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</si>
  <si>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</si>
  <si>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</si>
  <si>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</si>
  <si>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</si>
  <si>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</si>
  <si>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</si>
  <si>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</si>
  <si>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</si>
  <si>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</si>
  <si>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</si>
  <si>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</si>
  <si>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</si>
  <si>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</si>
  <si>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</si>
  <si>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</si>
  <si>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</si>
  <si>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</si>
  <si>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</si>
  <si>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</si>
  <si>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</si>
  <si>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</si>
  <si>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</si>
  <si>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</si>
  <si>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</si>
  <si>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</si>
  <si>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</si>
  <si>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</si>
  <si>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</si>
  <si>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</si>
  <si>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</si>
  <si>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</si>
  <si>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</si>
  <si>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</si>
  <si>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</si>
  <si>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</si>
  <si>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</si>
  <si>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</si>
  <si>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</si>
  <si>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</si>
  <si>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</si>
  <si>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</si>
  <si>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</si>
  <si>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</si>
  <si>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</si>
  <si>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</si>
  <si>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</si>
  <si>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</si>
  <si>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</si>
  <si>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</si>
  <si>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</si>
  <si>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</si>
  <si>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</si>
  <si>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</si>
  <si>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</si>
  <si>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</si>
  <si>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</si>
  <si>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</si>
  <si>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</si>
  <si>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</si>
  <si>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</si>
  <si>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</si>
  <si>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</si>
  <si>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</si>
  <si>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</si>
  <si>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</si>
  <si>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</si>
  <si>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</si>
  <si>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</si>
  <si>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</si>
  <si>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</si>
  <si>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</si>
  <si>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</si>
  <si>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</si>
  <si>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</si>
  <si>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</si>
  <si>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</si>
  <si>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</si>
  <si>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</si>
  <si>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</si>
  <si>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</si>
  <si>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</si>
  <si>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</si>
  <si>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</si>
  <si>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</si>
  <si>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</si>
  <si>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</si>
  <si>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</si>
  <si>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</si>
  <si>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</si>
  <si>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</si>
  <si>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</si>
  <si>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</si>
  <si>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</si>
  <si>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</si>
  <si>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</si>
  <si>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</si>
  <si>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</si>
  <si>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</si>
  <si>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</si>
  <si>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</si>
  <si>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</si>
  <si>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</si>
  <si>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</si>
  <si>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</si>
  <si>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</si>
  <si>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</si>
  <si>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</si>
  <si>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</si>
  <si>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</si>
  <si>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</si>
  <si>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</si>
  <si>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</si>
  <si>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</si>
  <si>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</si>
  <si>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</si>
  <si>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</si>
  <si>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</si>
  <si>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</si>
  <si>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</si>
  <si>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</si>
  <si>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</si>
  <si>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</si>
  <si>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</si>
  <si>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</si>
  <si>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</si>
  <si>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</si>
  <si>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</si>
  <si>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</si>
  <si>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</si>
  <si>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</si>
  <si>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</si>
  <si>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</si>
  <si>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</si>
  <si>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</si>
  <si>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</si>
  <si>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</si>
  <si>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</si>
  <si>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</si>
  <si>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</si>
  <si>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</si>
  <si>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</si>
  <si>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</si>
  <si>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</si>
  <si>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</si>
  <si>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</si>
  <si>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</si>
  <si>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</si>
  <si>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</si>
  <si>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</si>
  <si>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</si>
  <si>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</si>
  <si>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</si>
  <si>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</si>
  <si>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</si>
  <si>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</si>
  <si>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</si>
  <si>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</si>
  <si>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</si>
  <si>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</si>
  <si>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</si>
  <si>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</si>
  <si>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</si>
  <si>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</si>
  <si>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</si>
  <si>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</si>
  <si>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</si>
  <si>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</si>
  <si>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</si>
  <si>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</si>
  <si>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</si>
  <si>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</si>
  <si>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</si>
  <si>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</si>
  <si>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</si>
  <si>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</si>
  <si>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</si>
  <si>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</si>
  <si>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</si>
  <si>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</si>
  <si>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</si>
  <si>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</si>
  <si>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</si>
  <si>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</si>
  <si>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</si>
  <si>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</si>
  <si>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</si>
  <si>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</si>
  <si>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</si>
  <si>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</si>
  <si>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</si>
  <si>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</si>
  <si>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</si>
  <si>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</si>
  <si>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</si>
  <si>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</si>
  <si>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</si>
  <si>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</si>
  <si>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</si>
  <si>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</si>
  <si>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</si>
  <si>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</si>
  <si>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</si>
  <si>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</si>
  <si>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</si>
  <si>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</si>
  <si>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</si>
  <si>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</si>
  <si>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</si>
  <si>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</si>
  <si>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</si>
  <si>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</si>
  <si>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</si>
  <si>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</si>
  <si>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</si>
  <si>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</si>
  <si>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</si>
  <si>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</si>
  <si>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</si>
  <si>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</si>
  <si>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</si>
  <si>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</si>
  <si>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</si>
  <si>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</si>
  <si>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</si>
  <si>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</si>
  <si>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</si>
  <si>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</si>
  <si>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</si>
  <si>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</si>
  <si>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</si>
  <si>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</si>
  <si>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</si>
  <si>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</si>
  <si>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</si>
  <si>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</si>
  <si>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</si>
  <si>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</si>
  <si>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</si>
  <si>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</si>
  <si>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</si>
  <si>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</si>
  <si>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</si>
  <si>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</si>
  <si>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</si>
  <si>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</si>
  <si>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</si>
  <si>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</si>
  <si>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</si>
  <si>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</si>
  <si>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</si>
  <si>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</si>
  <si>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</si>
  <si>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</si>
  <si>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</si>
  <si>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</si>
  <si>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</si>
  <si>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</si>
  <si>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</si>
  <si>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</si>
  <si>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</si>
  <si>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</si>
  <si>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</si>
  <si>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</si>
  <si>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</si>
  <si>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</si>
  <si>
    <t>אפשר לשלוח את הנתונים למייל</t>
  </si>
  <si>
    <t>ttyy0527@gmail.com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</si>
</sst>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7">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6" fillId="2" borderId="4" xfId="0" applyFont="1" applyFill="1" applyBorder="1" applyAlignment="1" applyProtection="1">
      <protection locked="0"/>
    </xf>
    <xf numFmtId="0" fontId="6" fillId="2" borderId="4" xfId="0" applyFont="1" applyFill="1" applyBorder="1" applyAlignment="1" applyProtection="1">
      <alignment horizontal="right"/>
      <protection locked="0"/>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xf numFmtId="0" fontId="8" fillId="0" borderId="0" xfId="3"/>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tyy0527@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A14" sqref="A14"/>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7" t="s">
        <v>35</v>
      </c>
      <c r="B1" s="8"/>
      <c r="C1" s="33" t="s">
        <v>72</v>
      </c>
      <c r="D1" s="33"/>
      <c r="E1" s="33"/>
      <c r="F1" s="26"/>
    </row>
    <row r="2" spans="1:7" ht="15" thickTop="1" x14ac:dyDescent="0.2">
      <c r="A2" s="1" t="s">
        <v>0</v>
      </c>
      <c r="B2" s="2" t="s">
        <v>1</v>
      </c>
      <c r="C2" t="s">
        <v>24</v>
      </c>
    </row>
    <row r="3" spans="1:7" x14ac:dyDescent="0.2">
      <c r="A3" s="1" t="s">
        <v>2</v>
      </c>
      <c r="B3" s="3">
        <v>1</v>
      </c>
      <c r="C3" t="s">
        <v>46</v>
      </c>
    </row>
    <row r="4" spans="1:7" x14ac:dyDescent="0.2">
      <c r="A4" s="1" t="s">
        <v>3</v>
      </c>
      <c r="B4" s="191">
        <f>IF(B9&gt;0%,0,6%)</f>
        <v>0.06</v>
      </c>
      <c r="C4" s="21" t="s">
        <v>36</v>
      </c>
      <c r="D4" s="21" t="s">
        <v>22</v>
      </c>
    </row>
    <row r="5" spans="1:7" x14ac:dyDescent="0.2">
      <c r="A5" s="1" t="s">
        <v>4</v>
      </c>
      <c r="B5" s="192">
        <f>IF(B2=B33,8.75,IF(B2=C33,8.75,0))</f>
        <v>8.75</v>
      </c>
      <c r="C5" s="21" t="s">
        <v>36</v>
      </c>
      <c r="D5" s="21" t="s">
        <v>23</v>
      </c>
    </row>
    <row r="6" spans="1:7" x14ac:dyDescent="0.2">
      <c r="A6" s="1" t="s">
        <v>38</v>
      </c>
      <c r="B6" s="2">
        <v>16</v>
      </c>
      <c r="C6" t="s">
        <v>24</v>
      </c>
    </row>
    <row r="7" spans="1:7" x14ac:dyDescent="0.2">
      <c r="A7" s="1" t="s">
        <v>5</v>
      </c>
      <c r="B7" s="4">
        <v>0</v>
      </c>
      <c r="C7" t="s">
        <v>44</v>
      </c>
    </row>
    <row r="8" spans="1:7" x14ac:dyDescent="0.2">
      <c r="A8" s="1" t="s">
        <v>37</v>
      </c>
      <c r="B8" s="4">
        <v>0</v>
      </c>
      <c r="C8" t="s">
        <v>609</v>
      </c>
    </row>
    <row r="9" spans="1:7" x14ac:dyDescent="0.2">
      <c r="A9" s="5" t="s">
        <v>6</v>
      </c>
      <c r="B9" s="4">
        <v>0</v>
      </c>
      <c r="C9" t="s">
        <v>45</v>
      </c>
    </row>
    <row r="10" spans="1:7" x14ac:dyDescent="0.2">
      <c r="A10" s="5" t="s">
        <v>7</v>
      </c>
      <c r="B10" s="4" t="s">
        <v>8</v>
      </c>
      <c r="C10" t="s">
        <v>25</v>
      </c>
      <c r="E10" s="9"/>
    </row>
    <row r="11" spans="1:7" ht="15" thickBot="1" x14ac:dyDescent="0.25">
      <c r="A11" s="16" t="s">
        <v>42</v>
      </c>
      <c r="B11" s="17" t="s">
        <v>28</v>
      </c>
      <c r="C11" t="s">
        <v>43</v>
      </c>
      <c r="E11" s="9"/>
    </row>
    <row r="12" spans="1:7" ht="15.75" thickTop="1" x14ac:dyDescent="0.25">
      <c r="A12" s="13" t="s">
        <v>42</v>
      </c>
      <c r="B12" s="14">
        <v>1</v>
      </c>
    </row>
    <row r="13" spans="1:7" ht="15" thickBot="1" x14ac:dyDescent="0.25">
      <c r="A13" s="16" t="s">
        <v>610</v>
      </c>
      <c r="B13" s="14">
        <v>0.5</v>
      </c>
      <c r="C13" t="s">
        <v>49</v>
      </c>
    </row>
    <row r="14" spans="1:7" ht="15" thickTop="1" x14ac:dyDescent="0.2">
      <c r="A14" s="216" t="s">
        <v>611</v>
      </c>
      <c r="B14" s="14">
        <v>0.5</v>
      </c>
      <c r="C14" t="s">
        <v>48</v>
      </c>
      <c r="D14" s="193" t="s">
        <v>606</v>
      </c>
      <c r="E14" s="193"/>
      <c r="F14" s="193"/>
      <c r="G14" s="193"/>
    </row>
    <row r="15" spans="1:7" ht="15.75" thickBot="1" x14ac:dyDescent="0.3">
      <c r="A15" s="15"/>
      <c r="B15" s="15"/>
      <c r="C15" s="15"/>
      <c r="D15" s="12" t="s">
        <v>40</v>
      </c>
      <c r="E15" s="196">
        <v>0</v>
      </c>
      <c r="F15" s="197">
        <f>($E$15/24)+AX44</f>
        <v>0</v>
      </c>
      <c r="G15" s="10" t="s">
        <v>30</v>
      </c>
    </row>
    <row r="16" spans="1:7" ht="15.75" thickBot="1" x14ac:dyDescent="0.3">
      <c r="D16" s="12" t="s">
        <v>41</v>
      </c>
      <c r="E16" s="196">
        <v>24</v>
      </c>
      <c r="F16" s="197">
        <f>$E$16/30+AX45</f>
        <v>0.9</v>
      </c>
      <c r="G16" s="10" t="s">
        <v>31</v>
      </c>
    </row>
    <row r="17" spans="1:69" x14ac:dyDescent="0.2">
      <c r="A17" s="5" t="s">
        <v>39</v>
      </c>
      <c r="C17" s="209"/>
      <c r="D17" s="209"/>
      <c r="E17" s="209"/>
    </row>
    <row r="18" spans="1:69" x14ac:dyDescent="0.2">
      <c r="C18" s="18"/>
      <c r="D18" s="18"/>
      <c r="E18" s="18"/>
      <c r="F18" s="5"/>
      <c r="H18" s="9"/>
    </row>
    <row r="19" spans="1:69" x14ac:dyDescent="0.2">
      <c r="A19" t="s">
        <v>47</v>
      </c>
      <c r="C19" s="18"/>
      <c r="D19" s="18"/>
      <c r="E19" s="18"/>
      <c r="F19" s="5"/>
      <c r="H19" s="9"/>
    </row>
    <row r="20" spans="1:69" ht="15" thickBot="1" x14ac:dyDescent="0.25">
      <c r="A20" s="6" t="s">
        <v>33</v>
      </c>
      <c r="B20" s="194">
        <v>0</v>
      </c>
      <c r="C20" s="18" t="s">
        <v>34</v>
      </c>
      <c r="D20" s="18"/>
      <c r="E20" s="18"/>
    </row>
    <row r="21" spans="1:69" ht="15" thickTop="1" x14ac:dyDescent="0.2">
      <c r="A21" s="5" t="s">
        <v>32</v>
      </c>
      <c r="B21" s="195">
        <v>0</v>
      </c>
      <c r="C21" s="18"/>
      <c r="D21" s="19"/>
      <c r="E21" s="18"/>
    </row>
    <row r="22" spans="1:69" x14ac:dyDescent="0.2">
      <c r="C22" s="18"/>
      <c r="D22" s="18"/>
      <c r="E22" s="18"/>
    </row>
    <row r="23" spans="1:69" x14ac:dyDescent="0.2">
      <c r="C23" s="18"/>
      <c r="D23" s="20"/>
      <c r="E23" s="20"/>
      <c r="F23" s="11"/>
    </row>
    <row r="24" spans="1:69" x14ac:dyDescent="0.2">
      <c r="B24" s="11"/>
      <c r="C24" s="18"/>
      <c r="D24" s="20"/>
      <c r="E24" s="20"/>
      <c r="F24" s="11"/>
    </row>
    <row r="25" spans="1:69" x14ac:dyDescent="0.2">
      <c r="A25" s="11"/>
      <c r="B25" s="11"/>
      <c r="C25" s="20"/>
      <c r="D25" s="20"/>
      <c r="E25" s="20"/>
      <c r="F25" s="11"/>
    </row>
    <row r="26" spans="1:69" x14ac:dyDescent="0.2">
      <c r="C26" s="20"/>
      <c r="D26" s="18"/>
      <c r="E26" s="18"/>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row>
    <row r="27" spans="1:69" x14ac:dyDescent="0.2">
      <c r="A27" s="198"/>
      <c r="B27" s="198"/>
      <c r="C27" s="199"/>
      <c r="D27" s="199"/>
      <c r="E27" s="199"/>
      <c r="F27" s="198"/>
      <c r="G27" s="198"/>
      <c r="H27" s="198"/>
      <c r="I27" s="198"/>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c r="BK27" s="198"/>
      <c r="BL27" s="198"/>
      <c r="BM27" s="198"/>
      <c r="BN27" s="198"/>
      <c r="BO27" s="198"/>
      <c r="BP27" s="198"/>
      <c r="BQ27" s="198"/>
    </row>
    <row r="28" spans="1:69" x14ac:dyDescent="0.2">
      <c r="A28" s="198"/>
      <c r="B28" s="198"/>
      <c r="C28" s="198"/>
      <c r="D28" s="198"/>
      <c r="E28" s="198"/>
      <c r="F28" s="198"/>
      <c r="G28" s="198"/>
      <c r="H28" s="198"/>
      <c r="I28" s="198"/>
      <c r="J28" s="198"/>
      <c r="K28" s="198"/>
      <c r="L28" s="198"/>
      <c r="M28" s="198"/>
      <c r="N28" s="198"/>
      <c r="O28" s="198"/>
      <c r="P28" s="198"/>
      <c r="Q28" s="198"/>
      <c r="R28" s="198"/>
      <c r="S28" s="198"/>
      <c r="T28" s="198"/>
      <c r="U28" s="198"/>
      <c r="V28" s="198"/>
      <c r="W28" s="198"/>
      <c r="X28" s="198"/>
      <c r="Y28" s="198"/>
      <c r="Z28" s="198"/>
      <c r="AA28" s="198"/>
      <c r="AB28" s="198"/>
      <c r="AC28" s="198"/>
      <c r="AD28" s="198"/>
      <c r="AE28" s="198"/>
      <c r="AF28" s="198"/>
      <c r="AG28" s="198"/>
      <c r="AH28" s="198"/>
      <c r="AI28" s="198"/>
      <c r="AJ28" s="198"/>
      <c r="AK28" s="198"/>
      <c r="AL28" s="198"/>
      <c r="AM28" s="198"/>
      <c r="AN28" s="198"/>
      <c r="AO28" s="198"/>
      <c r="AP28" s="198"/>
      <c r="AQ28" s="198"/>
      <c r="AR28" s="198"/>
      <c r="AS28" s="198"/>
      <c r="AT28" s="198"/>
      <c r="AU28" s="198"/>
      <c r="AV28" s="198"/>
      <c r="AW28" s="198"/>
      <c r="AX28" s="198"/>
      <c r="AY28" s="198"/>
      <c r="AZ28" s="198"/>
      <c r="BA28" s="198"/>
      <c r="BB28" s="198"/>
      <c r="BC28" s="198"/>
      <c r="BD28" s="198"/>
      <c r="BE28" s="198"/>
      <c r="BF28" s="198"/>
      <c r="BG28" s="198"/>
      <c r="BH28" s="198"/>
      <c r="BI28" s="198"/>
      <c r="BJ28" s="198"/>
      <c r="BK28" s="198"/>
      <c r="BL28" s="198"/>
      <c r="BM28" s="198"/>
      <c r="BN28" s="198"/>
      <c r="BO28" s="198"/>
      <c r="BP28" s="198"/>
      <c r="BQ28" s="198"/>
    </row>
    <row r="29" spans="1:69" x14ac:dyDescent="0.2">
      <c r="A29" s="198"/>
      <c r="B29" s="198"/>
      <c r="C29" s="198"/>
      <c r="D29" s="198"/>
      <c r="E29" s="198"/>
      <c r="F29" s="198"/>
      <c r="G29" s="198"/>
      <c r="H29" s="198"/>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row>
    <row r="30" spans="1:69" x14ac:dyDescent="0.2">
      <c r="A30" s="198"/>
      <c r="B30" s="198"/>
      <c r="C30" s="198"/>
      <c r="D30" s="198"/>
      <c r="E30" s="198"/>
      <c r="F30" s="198"/>
      <c r="G30" s="198"/>
      <c r="H30" s="198"/>
      <c r="I30" s="198"/>
      <c r="J30" s="198"/>
      <c r="K30" s="198"/>
      <c r="L30" s="198"/>
      <c r="M30" s="198"/>
      <c r="N30" s="198"/>
      <c r="O30" s="198"/>
      <c r="P30" s="198"/>
      <c r="Q30" s="198"/>
      <c r="R30" s="198"/>
      <c r="S30" s="198"/>
      <c r="T30" s="198"/>
      <c r="U30" s="198"/>
      <c r="V30" s="198"/>
      <c r="W30" s="198"/>
      <c r="X30" s="198"/>
      <c r="Y30" s="198"/>
      <c r="Z30" s="198"/>
      <c r="AA30" s="198"/>
      <c r="AB30" s="198"/>
      <c r="AC30" s="198"/>
      <c r="AD30" s="198"/>
      <c r="AE30" s="198"/>
      <c r="AF30" s="198"/>
      <c r="AG30" s="198"/>
      <c r="AH30" s="198"/>
      <c r="AI30" s="198"/>
      <c r="AJ30" s="198"/>
      <c r="AK30" s="198"/>
      <c r="AL30" s="198"/>
      <c r="AM30" s="198"/>
      <c r="AN30" s="198"/>
      <c r="AO30" s="198"/>
      <c r="AP30" s="198"/>
      <c r="AQ30" s="198"/>
      <c r="AR30" s="198"/>
      <c r="AS30" s="198"/>
      <c r="AT30" s="198"/>
      <c r="AU30" s="198"/>
      <c r="AV30" s="198"/>
      <c r="AW30" s="198"/>
      <c r="AX30" s="198"/>
      <c r="AY30" s="198"/>
      <c r="AZ30" s="198"/>
      <c r="BA30" s="198"/>
      <c r="BB30" s="198"/>
      <c r="BC30" s="198"/>
      <c r="BD30" s="198"/>
      <c r="BE30" s="198"/>
      <c r="BF30" s="198"/>
      <c r="BG30" s="198"/>
      <c r="BH30" s="198"/>
      <c r="BI30" s="198"/>
      <c r="BJ30" s="198"/>
      <c r="BK30" s="198"/>
      <c r="BL30" s="198"/>
      <c r="BM30" s="198"/>
      <c r="BN30" s="198"/>
      <c r="BO30" s="198"/>
      <c r="BP30" s="198"/>
      <c r="BQ30" s="198"/>
    </row>
    <row r="31" spans="1:69" x14ac:dyDescent="0.2">
      <c r="A31" s="198"/>
      <c r="B31" s="198"/>
      <c r="C31" s="198"/>
      <c r="D31" s="198"/>
      <c r="E31" s="198"/>
      <c r="F31" s="198"/>
      <c r="G31" s="198"/>
      <c r="H31" s="198"/>
      <c r="I31" s="198"/>
      <c r="J31" s="198"/>
      <c r="K31" s="198"/>
      <c r="L31" s="198"/>
      <c r="M31" s="198"/>
      <c r="N31" s="198"/>
      <c r="O31" s="198"/>
      <c r="P31" s="198"/>
      <c r="Q31" s="198"/>
      <c r="R31" s="198"/>
      <c r="S31" s="198"/>
      <c r="T31" s="198"/>
      <c r="U31" s="198"/>
      <c r="V31" s="198"/>
      <c r="W31" s="198"/>
      <c r="X31" s="198"/>
      <c r="Y31" s="198"/>
      <c r="Z31" s="198"/>
      <c r="AA31" s="198"/>
      <c r="AB31" s="198"/>
      <c r="AC31" s="198"/>
      <c r="AD31" s="198"/>
      <c r="AE31" s="198"/>
      <c r="AF31" s="198"/>
      <c r="AG31" s="198"/>
      <c r="AH31" s="198"/>
      <c r="AI31" s="198"/>
      <c r="AJ31" s="198"/>
      <c r="AK31" s="198"/>
      <c r="AL31" s="198"/>
      <c r="AM31" s="198"/>
      <c r="AN31" s="198"/>
      <c r="AO31" s="198"/>
      <c r="AP31" s="198"/>
      <c r="AQ31" s="198"/>
      <c r="AR31" s="198"/>
      <c r="AS31" s="198"/>
      <c r="AT31" s="198"/>
      <c r="AU31" s="198"/>
      <c r="AV31" s="198"/>
      <c r="AW31" s="198"/>
      <c r="AX31" s="198"/>
      <c r="AY31" s="198"/>
      <c r="AZ31" s="198"/>
      <c r="BA31" s="198"/>
      <c r="BB31" s="198"/>
      <c r="BC31" s="198"/>
      <c r="BD31" s="198"/>
      <c r="BE31" s="198"/>
      <c r="BF31" s="198"/>
      <c r="BG31" s="198"/>
      <c r="BH31" s="198"/>
      <c r="BI31" s="198"/>
      <c r="BJ31" s="198"/>
      <c r="BK31" s="198"/>
      <c r="BL31" s="198"/>
      <c r="BM31" s="198"/>
      <c r="BN31" s="198"/>
      <c r="BO31" s="198"/>
      <c r="BP31" s="198"/>
      <c r="BQ31" s="198"/>
    </row>
    <row r="32" spans="1:69" x14ac:dyDescent="0.2">
      <c r="A32" s="198"/>
      <c r="B32" s="198"/>
      <c r="C32" s="198"/>
      <c r="D32" s="198"/>
      <c r="E32" s="198"/>
      <c r="F32" s="198"/>
      <c r="G32" s="198"/>
      <c r="H32" s="198"/>
      <c r="I32" s="198"/>
      <c r="J32" s="198"/>
      <c r="K32" s="198"/>
      <c r="L32" s="198"/>
      <c r="M32" s="198"/>
      <c r="N32" s="198"/>
      <c r="O32" s="198"/>
      <c r="P32" s="198"/>
      <c r="Q32" s="198"/>
      <c r="R32" s="198"/>
      <c r="S32" s="198"/>
      <c r="T32" s="198"/>
      <c r="U32" s="198"/>
      <c r="V32" s="198"/>
      <c r="W32" s="198"/>
      <c r="X32" s="198"/>
      <c r="Y32" s="198"/>
      <c r="Z32" s="198"/>
      <c r="AA32" s="198"/>
      <c r="AB32" s="198"/>
      <c r="AC32" s="198"/>
      <c r="AD32" s="198"/>
      <c r="AE32" s="198"/>
      <c r="AF32" s="198"/>
      <c r="AG32" s="198"/>
      <c r="AH32" s="198"/>
      <c r="AI32" s="198"/>
      <c r="AJ32" s="198"/>
      <c r="AK32" s="198"/>
      <c r="AL32" s="198"/>
      <c r="AM32" s="198"/>
      <c r="AN32" s="198"/>
      <c r="AO32" s="198"/>
      <c r="AP32" s="198"/>
      <c r="AQ32" s="198"/>
      <c r="AR32" s="198"/>
      <c r="AS32" s="198"/>
      <c r="AT32" s="198"/>
      <c r="AU32" s="198"/>
      <c r="AV32" s="198"/>
      <c r="AW32" s="198"/>
      <c r="AX32" s="198"/>
      <c r="AY32" s="198"/>
      <c r="AZ32" s="198"/>
      <c r="BA32" s="198"/>
      <c r="BB32" s="198"/>
      <c r="BC32" s="198"/>
      <c r="BD32" s="198"/>
      <c r="BE32" s="198"/>
      <c r="BF32" s="198"/>
      <c r="BG32" s="198"/>
      <c r="BH32" s="198"/>
      <c r="BI32" s="198"/>
      <c r="BJ32" s="198"/>
      <c r="BK32" s="198"/>
      <c r="BL32" s="198"/>
      <c r="BM32" s="198"/>
      <c r="BN32" s="198"/>
      <c r="BO32" s="198"/>
      <c r="BP32" s="198"/>
      <c r="BQ32" s="198"/>
    </row>
    <row r="33" spans="1:69" ht="38.25" x14ac:dyDescent="0.2">
      <c r="A33" s="200" t="s">
        <v>10</v>
      </c>
      <c r="B33" s="200" t="s">
        <v>11</v>
      </c>
      <c r="C33" s="200" t="s">
        <v>1</v>
      </c>
      <c r="D33" s="200" t="s">
        <v>9</v>
      </c>
      <c r="E33" s="200" t="s">
        <v>12</v>
      </c>
      <c r="F33" s="200" t="s">
        <v>13</v>
      </c>
      <c r="G33" s="200" t="s">
        <v>14</v>
      </c>
      <c r="H33" s="200" t="s">
        <v>15</v>
      </c>
      <c r="I33" s="200" t="s">
        <v>16</v>
      </c>
      <c r="J33" s="200" t="s">
        <v>17</v>
      </c>
      <c r="K33" s="200" t="s">
        <v>18</v>
      </c>
      <c r="L33" s="200" t="s">
        <v>19</v>
      </c>
      <c r="M33" s="200" t="s">
        <v>20</v>
      </c>
      <c r="N33" s="201" t="s">
        <v>21</v>
      </c>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98"/>
      <c r="AS33" s="198"/>
      <c r="AT33" s="198"/>
      <c r="AU33" s="198"/>
      <c r="AV33" s="198"/>
      <c r="AW33" s="198"/>
      <c r="AX33" s="198"/>
      <c r="AY33" s="198"/>
      <c r="AZ33" s="198"/>
      <c r="BA33" s="198"/>
      <c r="BB33" s="198"/>
      <c r="BC33" s="198"/>
      <c r="BD33" s="198"/>
      <c r="BE33" s="198"/>
      <c r="BF33" s="198"/>
      <c r="BG33" s="198"/>
      <c r="BH33" s="198"/>
      <c r="BI33" s="198"/>
      <c r="BJ33" s="198"/>
      <c r="BK33" s="198"/>
      <c r="BL33" s="198"/>
      <c r="BM33" s="198"/>
      <c r="BN33" s="198"/>
      <c r="BO33" s="198"/>
      <c r="BP33" s="198"/>
      <c r="BQ33" s="198"/>
    </row>
    <row r="34" spans="1:69" x14ac:dyDescent="0.2">
      <c r="A34" s="198" t="s">
        <v>28</v>
      </c>
      <c r="B34" s="198"/>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8"/>
      <c r="AG34" s="198"/>
      <c r="AH34" s="198"/>
      <c r="AI34" s="198"/>
      <c r="AJ34" s="198"/>
      <c r="AK34" s="198"/>
      <c r="AL34" s="198"/>
      <c r="AM34" s="198"/>
      <c r="AN34" s="198"/>
      <c r="AO34" s="198"/>
      <c r="AP34" s="198"/>
      <c r="AQ34" s="198"/>
      <c r="AR34" s="198"/>
      <c r="AS34" s="198"/>
      <c r="AT34" s="198"/>
      <c r="AU34" s="198"/>
      <c r="AV34" s="198"/>
      <c r="AW34" s="198"/>
      <c r="AX34" s="198"/>
      <c r="AY34" s="198"/>
      <c r="AZ34" s="198"/>
      <c r="BA34" s="198"/>
      <c r="BB34" s="198"/>
      <c r="BC34" s="198"/>
      <c r="BD34" s="198"/>
      <c r="BE34" s="198"/>
      <c r="BF34" s="198"/>
      <c r="BG34" s="198"/>
      <c r="BH34" s="198"/>
      <c r="BI34" s="198"/>
      <c r="BJ34" s="198"/>
      <c r="BK34" s="198"/>
      <c r="BL34" s="198"/>
      <c r="BM34" s="198"/>
      <c r="BN34" s="198"/>
      <c r="BO34" s="198"/>
      <c r="BP34" s="198"/>
      <c r="BQ34" s="198"/>
    </row>
    <row r="35" spans="1:69" x14ac:dyDescent="0.2">
      <c r="A35" s="198" t="s">
        <v>29</v>
      </c>
      <c r="B35" s="198"/>
      <c r="C35" s="198"/>
      <c r="D35" s="198"/>
      <c r="E35" s="198"/>
      <c r="F35" s="198"/>
      <c r="G35" s="198"/>
      <c r="H35" s="198"/>
      <c r="I35" s="198"/>
      <c r="J35" s="198"/>
      <c r="K35" s="198"/>
      <c r="L35" s="198"/>
      <c r="M35" s="198"/>
      <c r="N35" s="198"/>
      <c r="O35" s="198"/>
      <c r="P35" s="198"/>
      <c r="Q35" s="198"/>
      <c r="R35" s="198"/>
      <c r="S35" s="198"/>
      <c r="T35" s="198"/>
      <c r="U35" s="198"/>
      <c r="V35" s="198"/>
      <c r="W35" s="198"/>
      <c r="X35" s="198"/>
      <c r="Y35" s="198"/>
      <c r="Z35" s="198"/>
      <c r="AA35" s="198"/>
      <c r="AB35" s="198"/>
      <c r="AC35" s="198"/>
      <c r="AD35" s="198"/>
      <c r="AE35" s="198"/>
      <c r="AF35" s="198"/>
      <c r="AG35" s="198"/>
      <c r="AH35" s="198"/>
      <c r="AI35" s="198"/>
      <c r="AJ35" s="198"/>
      <c r="AK35" s="198"/>
      <c r="AL35" s="198"/>
      <c r="AM35" s="198"/>
      <c r="AN35" s="198"/>
      <c r="AO35" s="198"/>
      <c r="AP35" s="198"/>
      <c r="AQ35" s="198"/>
      <c r="AR35" s="198"/>
      <c r="AS35" s="198"/>
      <c r="AT35" s="198"/>
      <c r="AU35" s="198"/>
      <c r="AV35" s="198"/>
      <c r="AW35" s="198"/>
      <c r="AX35" s="198"/>
      <c r="AY35" s="198"/>
      <c r="AZ35" s="198"/>
      <c r="BA35" s="198"/>
      <c r="BB35" s="198"/>
      <c r="BC35" s="198"/>
      <c r="BD35" s="198"/>
      <c r="BE35" s="198"/>
      <c r="BF35" s="198"/>
      <c r="BG35" s="198"/>
      <c r="BH35" s="198"/>
      <c r="BI35" s="198"/>
      <c r="BJ35" s="198"/>
      <c r="BK35" s="198"/>
      <c r="BL35" s="198"/>
      <c r="BM35" s="198"/>
      <c r="BN35" s="198"/>
      <c r="BO35" s="198"/>
      <c r="BP35" s="198"/>
      <c r="BQ35" s="198"/>
    </row>
    <row r="36" spans="1:69" x14ac:dyDescent="0.2">
      <c r="A36" s="198" t="s">
        <v>26</v>
      </c>
      <c r="B36" s="198" t="s">
        <v>26</v>
      </c>
      <c r="C36" s="198">
        <v>0</v>
      </c>
      <c r="D36" s="198"/>
      <c r="E36" s="198"/>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8"/>
      <c r="AG36" s="198"/>
      <c r="AH36" s="198"/>
      <c r="AI36" s="198"/>
      <c r="AJ36" s="198"/>
      <c r="AK36" s="198"/>
      <c r="AL36" s="198"/>
      <c r="AM36" s="198"/>
      <c r="AN36" s="198"/>
      <c r="AO36" s="198"/>
      <c r="AP36" s="198"/>
      <c r="AQ36" s="198"/>
      <c r="AR36" s="198"/>
      <c r="AS36" s="198"/>
      <c r="AT36" s="198"/>
      <c r="AU36" s="198"/>
      <c r="AV36" s="198"/>
      <c r="AW36" s="198"/>
      <c r="AX36" s="198"/>
      <c r="AY36" s="198"/>
      <c r="AZ36" s="198"/>
      <c r="BA36" s="198"/>
      <c r="BB36" s="198"/>
      <c r="BC36" s="198"/>
      <c r="BD36" s="198"/>
      <c r="BE36" s="198"/>
      <c r="BF36" s="198"/>
      <c r="BG36" s="198"/>
      <c r="BH36" s="198"/>
      <c r="BI36" s="198"/>
      <c r="BJ36" s="198"/>
      <c r="BK36" s="198"/>
      <c r="BL36" s="198"/>
      <c r="BM36" s="198"/>
      <c r="BN36" s="198"/>
      <c r="BO36" s="198"/>
      <c r="BP36" s="198"/>
      <c r="BQ36" s="198"/>
    </row>
    <row r="37" spans="1:69" x14ac:dyDescent="0.2">
      <c r="A37" s="198" t="s">
        <v>8</v>
      </c>
      <c r="B37" s="198" t="s">
        <v>27</v>
      </c>
      <c r="C37" s="198">
        <v>1</v>
      </c>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8"/>
      <c r="AG37" s="198"/>
      <c r="AH37" s="198"/>
      <c r="AI37" s="198"/>
      <c r="AJ37" s="198"/>
      <c r="AK37" s="198"/>
      <c r="AL37" s="198"/>
      <c r="AM37" s="198"/>
      <c r="AN37" s="198"/>
      <c r="AO37" s="198"/>
      <c r="AP37" s="198"/>
      <c r="AQ37" s="198"/>
      <c r="AR37" s="198"/>
      <c r="AS37" s="198"/>
      <c r="AT37" s="198"/>
      <c r="AU37" s="198"/>
      <c r="AV37" s="198"/>
      <c r="AW37" s="198"/>
      <c r="AX37" s="198"/>
      <c r="AY37" s="198"/>
      <c r="AZ37" s="198"/>
      <c r="BA37" s="198"/>
      <c r="BB37" s="198"/>
      <c r="BC37" s="198"/>
      <c r="BD37" s="198"/>
      <c r="BE37" s="198"/>
      <c r="BF37" s="198"/>
      <c r="BG37" s="198"/>
      <c r="BH37" s="198"/>
      <c r="BI37" s="198"/>
      <c r="BJ37" s="198"/>
      <c r="BK37" s="198"/>
      <c r="BL37" s="198"/>
      <c r="BM37" s="198"/>
      <c r="BN37" s="198"/>
      <c r="BO37" s="198"/>
      <c r="BP37" s="198"/>
      <c r="BQ37" s="198"/>
    </row>
    <row r="38" spans="1:69" x14ac:dyDescent="0.2">
      <c r="A38" s="198" t="s">
        <v>27</v>
      </c>
      <c r="B38" s="198"/>
      <c r="C38" s="198">
        <v>2</v>
      </c>
      <c r="D38" s="198"/>
      <c r="E38" s="198"/>
      <c r="F38" s="198"/>
      <c r="G38" s="198"/>
      <c r="H38" s="198"/>
      <c r="I38" s="198"/>
      <c r="J38" s="198"/>
      <c r="K38" s="198"/>
      <c r="L38" s="198"/>
      <c r="M38" s="198"/>
      <c r="N38" s="198"/>
      <c r="O38" s="198"/>
      <c r="P38" s="198"/>
      <c r="Q38" s="198"/>
      <c r="R38" s="198"/>
      <c r="S38" s="198"/>
      <c r="T38" s="198"/>
      <c r="U38" s="198"/>
      <c r="V38" s="198"/>
      <c r="W38" s="198"/>
      <c r="X38" s="198"/>
      <c r="Y38" s="198"/>
      <c r="Z38" s="198"/>
      <c r="AA38" s="198"/>
      <c r="AB38" s="198"/>
      <c r="AC38" s="198"/>
      <c r="AD38" s="198"/>
      <c r="AE38" s="198"/>
      <c r="AF38" s="198"/>
      <c r="AG38" s="198"/>
      <c r="AH38" s="198"/>
      <c r="AI38" s="198"/>
      <c r="AJ38" s="198"/>
      <c r="AK38" s="198"/>
      <c r="AL38" s="198"/>
      <c r="AM38" s="198"/>
      <c r="AN38" s="198"/>
      <c r="AO38" s="198"/>
      <c r="AP38" s="198"/>
      <c r="AQ38" s="198"/>
      <c r="AR38" s="198"/>
      <c r="AS38" s="198"/>
      <c r="AT38" s="198"/>
      <c r="AU38" s="198"/>
      <c r="AV38" s="198"/>
      <c r="AW38" s="198"/>
      <c r="AX38" s="198"/>
      <c r="AY38" s="198"/>
      <c r="AZ38" s="198"/>
      <c r="BA38" s="198"/>
      <c r="BB38" s="198"/>
      <c r="BC38" s="198"/>
      <c r="BD38" s="198"/>
      <c r="BE38" s="198"/>
      <c r="BF38" s="198"/>
      <c r="BG38" s="198"/>
      <c r="BH38" s="198"/>
      <c r="BI38" s="198"/>
      <c r="BJ38" s="198"/>
      <c r="BK38" s="198"/>
      <c r="BL38" s="198"/>
      <c r="BM38" s="198"/>
      <c r="BN38" s="198"/>
      <c r="BO38" s="198"/>
      <c r="BP38" s="198"/>
      <c r="BQ38" s="198"/>
    </row>
    <row r="39" spans="1:69" x14ac:dyDescent="0.2">
      <c r="A39" s="198">
        <v>0</v>
      </c>
      <c r="B39" s="198"/>
      <c r="C39" s="202">
        <f>IF(B10="כן",7%,0)</f>
        <v>7.0000000000000007E-2</v>
      </c>
      <c r="D39" s="198"/>
      <c r="E39" s="198"/>
      <c r="F39" s="198"/>
      <c r="G39" s="198"/>
      <c r="H39" s="198"/>
      <c r="I39" s="198"/>
      <c r="J39" s="198"/>
      <c r="K39" s="198"/>
      <c r="L39" s="198"/>
      <c r="M39" s="198"/>
      <c r="N39" s="198"/>
      <c r="O39" s="198"/>
      <c r="P39" s="198"/>
      <c r="Q39" s="198"/>
      <c r="R39" s="198"/>
      <c r="S39" s="198"/>
      <c r="T39" s="198"/>
      <c r="U39" s="198"/>
      <c r="V39" s="198"/>
      <c r="W39" s="198"/>
      <c r="X39" s="198"/>
      <c r="Y39" s="198"/>
      <c r="Z39" s="198"/>
      <c r="AA39" s="198"/>
      <c r="AB39" s="198"/>
      <c r="AC39" s="198"/>
      <c r="AD39" s="198"/>
      <c r="AE39" s="198"/>
      <c r="AF39" s="198"/>
      <c r="AG39" s="198"/>
      <c r="AH39" s="198"/>
      <c r="AI39" s="198"/>
      <c r="AJ39" s="198"/>
      <c r="AK39" s="198"/>
      <c r="AL39" s="198"/>
      <c r="AM39" s="198"/>
      <c r="AN39" s="198"/>
      <c r="AO39" s="198"/>
      <c r="AP39" s="198"/>
      <c r="AQ39" s="198"/>
      <c r="AR39" s="198"/>
      <c r="AS39" s="198"/>
      <c r="AT39" s="198"/>
      <c r="AU39" s="198">
        <f>B13/B12*(C39+C40+17%+12.5%)</f>
        <v>0.1825</v>
      </c>
      <c r="AV39" s="198"/>
      <c r="AW39" s="198"/>
      <c r="AX39" s="198"/>
      <c r="AY39" s="198"/>
      <c r="AZ39" s="198"/>
      <c r="BA39" s="198"/>
      <c r="BB39" s="198"/>
      <c r="BC39" s="198"/>
      <c r="BD39" s="198"/>
      <c r="BE39" s="198"/>
      <c r="BF39" s="198"/>
      <c r="BG39" s="198"/>
      <c r="BH39" s="198"/>
      <c r="BI39" s="198"/>
      <c r="BJ39" s="198"/>
      <c r="BK39" s="198"/>
      <c r="BL39" s="198"/>
      <c r="BM39" s="198"/>
      <c r="BN39" s="198"/>
      <c r="BO39" s="198"/>
      <c r="BP39" s="198"/>
      <c r="BQ39" s="198"/>
    </row>
    <row r="40" spans="1:69" x14ac:dyDescent="0.2">
      <c r="A40" s="203">
        <v>0.1</v>
      </c>
      <c r="B40" s="198"/>
      <c r="C40" s="202">
        <f>IF(B9=0,0,3%)</f>
        <v>0</v>
      </c>
      <c r="D40" s="198"/>
      <c r="E40" s="198"/>
      <c r="F40" s="198"/>
      <c r="G40" s="198"/>
      <c r="H40" s="198"/>
      <c r="I40" s="198"/>
      <c r="J40" s="198"/>
      <c r="K40" s="198"/>
      <c r="L40" s="198"/>
      <c r="M40" s="198"/>
      <c r="N40" s="198"/>
      <c r="O40" s="198"/>
      <c r="P40" s="198"/>
      <c r="Q40" s="198"/>
      <c r="R40" s="198"/>
      <c r="S40" s="198"/>
      <c r="T40" s="198"/>
      <c r="U40" s="198"/>
      <c r="V40" s="198"/>
      <c r="W40" s="198"/>
      <c r="X40" s="198"/>
      <c r="Y40" s="198"/>
      <c r="Z40" s="198"/>
      <c r="AA40" s="198"/>
      <c r="AB40" s="198"/>
      <c r="AC40" s="198"/>
      <c r="AD40" s="198"/>
      <c r="AE40" s="198"/>
      <c r="AF40" s="198"/>
      <c r="AG40" s="198"/>
      <c r="AH40" s="198"/>
      <c r="AI40" s="198"/>
      <c r="AJ40" s="198"/>
      <c r="AK40" s="198"/>
      <c r="AL40" s="198"/>
      <c r="AM40" s="198"/>
      <c r="AN40" s="198"/>
      <c r="AO40" s="198"/>
      <c r="AP40" s="198"/>
      <c r="AQ40" s="198"/>
      <c r="AR40" s="198"/>
      <c r="AS40" s="198"/>
      <c r="AT40" s="198"/>
      <c r="AU40" s="198">
        <f>B14/B12*(C39+C40+17%)</f>
        <v>0.12000000000000001</v>
      </c>
      <c r="AV40" s="198"/>
      <c r="AW40" s="198"/>
      <c r="AX40" s="198"/>
      <c r="AY40" s="198"/>
      <c r="AZ40" s="198"/>
      <c r="BA40" s="198"/>
      <c r="BB40" s="198"/>
      <c r="BC40" s="198"/>
      <c r="BD40" s="198"/>
      <c r="BE40" s="198"/>
      <c r="BF40" s="198"/>
      <c r="BG40" s="198"/>
      <c r="BH40" s="198"/>
      <c r="BI40" s="198"/>
      <c r="BJ40" s="198"/>
      <c r="BK40" s="198"/>
      <c r="BL40" s="198"/>
      <c r="BM40" s="198"/>
      <c r="BN40" s="198"/>
      <c r="BO40" s="198"/>
      <c r="BP40" s="198"/>
      <c r="BQ40" s="198"/>
    </row>
    <row r="41" spans="1:69" x14ac:dyDescent="0.2">
      <c r="A41" s="204">
        <v>0.115</v>
      </c>
      <c r="B41" s="198"/>
      <c r="C41" s="198"/>
      <c r="D41" s="198"/>
      <c r="E41" s="198"/>
      <c r="F41" s="198"/>
      <c r="G41" s="198"/>
      <c r="H41" s="198"/>
      <c r="I41" s="198"/>
      <c r="J41" s="198"/>
      <c r="K41" s="198"/>
      <c r="L41" s="198"/>
      <c r="M41" s="198"/>
      <c r="N41" s="198"/>
      <c r="O41" s="198"/>
      <c r="P41" s="198"/>
      <c r="Q41" s="198"/>
      <c r="R41" s="198"/>
      <c r="S41" s="198"/>
      <c r="T41" s="198"/>
      <c r="U41" s="198"/>
      <c r="V41" s="198"/>
      <c r="W41" s="198"/>
      <c r="X41" s="198"/>
      <c r="Y41" s="198"/>
      <c r="Z41" s="198"/>
      <c r="AA41" s="198"/>
      <c r="AB41" s="198"/>
      <c r="AC41" s="198"/>
      <c r="AD41" s="198"/>
      <c r="AE41" s="198"/>
      <c r="AF41" s="198"/>
      <c r="AG41" s="198"/>
      <c r="AH41" s="198"/>
      <c r="AI41" s="198"/>
      <c r="AJ41" s="198"/>
      <c r="AK41" s="198"/>
      <c r="AL41" s="198"/>
      <c r="AM41" s="198"/>
      <c r="AN41" s="198"/>
      <c r="AO41" s="198"/>
      <c r="AP41" s="198"/>
      <c r="AQ41" s="198"/>
      <c r="AR41" s="198"/>
      <c r="AS41" s="198"/>
      <c r="AT41" s="198"/>
      <c r="AU41" s="198">
        <f>(AU40+AU39)</f>
        <v>0.30249999999999999</v>
      </c>
      <c r="AV41" s="198"/>
      <c r="AW41" s="198"/>
      <c r="AX41" s="198"/>
      <c r="AY41" s="198"/>
      <c r="AZ41" s="198"/>
      <c r="BA41" s="198"/>
      <c r="BB41" s="198"/>
      <c r="BC41" s="198"/>
      <c r="BD41" s="198"/>
      <c r="BE41" s="198"/>
      <c r="BF41" s="198"/>
      <c r="BG41" s="198"/>
      <c r="BH41" s="198"/>
      <c r="BI41" s="198"/>
      <c r="BJ41" s="198"/>
      <c r="BK41" s="198"/>
      <c r="BL41" s="198"/>
      <c r="BM41" s="198"/>
      <c r="BN41" s="198"/>
      <c r="BO41" s="198"/>
      <c r="BP41" s="198"/>
      <c r="BQ41" s="198"/>
    </row>
    <row r="42" spans="1:69" x14ac:dyDescent="0.2">
      <c r="A42" s="198"/>
      <c r="B42" s="198"/>
      <c r="C42" s="198"/>
      <c r="D42" s="198"/>
      <c r="E42" s="198"/>
      <c r="F42" s="198"/>
      <c r="G42" s="198"/>
      <c r="H42" s="198"/>
      <c r="I42" s="198"/>
      <c r="J42" s="198"/>
      <c r="K42" s="198"/>
      <c r="L42" s="198"/>
      <c r="M42" s="198"/>
      <c r="N42" s="198"/>
      <c r="O42" s="198"/>
      <c r="P42" s="198"/>
      <c r="Q42" s="198"/>
      <c r="R42" s="198"/>
      <c r="S42" s="198"/>
      <c r="T42" s="198"/>
      <c r="U42" s="198"/>
      <c r="V42" s="198"/>
      <c r="W42" s="198"/>
      <c r="X42" s="198"/>
      <c r="Y42" s="198"/>
      <c r="Z42" s="198"/>
      <c r="AA42" s="198"/>
      <c r="AB42" s="198"/>
      <c r="AC42" s="198"/>
      <c r="AD42" s="198"/>
      <c r="AE42" s="198"/>
      <c r="AF42" s="198"/>
      <c r="AG42" s="198"/>
      <c r="AH42" s="198"/>
      <c r="AI42" s="198"/>
      <c r="AJ42" s="198"/>
      <c r="AK42" s="198"/>
      <c r="AL42" s="198"/>
      <c r="AM42" s="198"/>
      <c r="AN42" s="198"/>
      <c r="AO42" s="198"/>
      <c r="AP42" s="198"/>
      <c r="AQ42" s="198"/>
      <c r="AR42" s="198"/>
      <c r="AS42" s="198"/>
      <c r="AT42" s="198"/>
      <c r="AU42" s="198"/>
      <c r="AV42" s="198"/>
      <c r="AW42" s="198"/>
      <c r="AX42" s="198"/>
      <c r="AY42" s="198"/>
      <c r="AZ42" s="198"/>
      <c r="BA42" s="198"/>
      <c r="BB42" s="198"/>
      <c r="BC42" s="198"/>
      <c r="BD42" s="198"/>
      <c r="BE42" s="198"/>
      <c r="BF42" s="198"/>
      <c r="BG42" s="198"/>
      <c r="BH42" s="198"/>
      <c r="BI42" s="198"/>
      <c r="BJ42" s="198"/>
      <c r="BK42" s="198"/>
      <c r="BL42" s="198"/>
      <c r="BM42" s="198"/>
      <c r="BN42" s="198"/>
      <c r="BO42" s="198"/>
      <c r="BP42" s="198"/>
      <c r="BQ42" s="198"/>
    </row>
    <row r="43" spans="1:69" x14ac:dyDescent="0.2">
      <c r="A43" s="198"/>
      <c r="B43" s="198"/>
      <c r="C43" s="198"/>
      <c r="D43" s="198"/>
      <c r="E43" s="198"/>
      <c r="F43" s="198"/>
      <c r="G43" s="198"/>
      <c r="H43" s="198"/>
      <c r="I43" s="198"/>
      <c r="J43" s="198"/>
      <c r="K43" s="198"/>
      <c r="L43" s="198"/>
      <c r="M43" s="198"/>
      <c r="N43" s="198"/>
      <c r="O43" s="198"/>
      <c r="P43" s="198"/>
      <c r="Q43" s="198"/>
      <c r="R43" s="198"/>
      <c r="S43" s="198"/>
      <c r="T43" s="198"/>
      <c r="U43" s="198"/>
      <c r="V43" s="198"/>
      <c r="W43" s="198"/>
      <c r="X43" s="198"/>
      <c r="Y43" s="198"/>
      <c r="Z43" s="198"/>
      <c r="AA43" s="198"/>
      <c r="AB43" s="198"/>
      <c r="AC43" s="198"/>
      <c r="AD43" s="198"/>
      <c r="AE43" s="198"/>
      <c r="AF43" s="198"/>
      <c r="AG43" s="198"/>
      <c r="AH43" s="198"/>
      <c r="AI43" s="198"/>
      <c r="AJ43" s="198"/>
      <c r="AK43" s="198"/>
      <c r="AL43" s="198"/>
      <c r="AM43" s="198"/>
      <c r="AN43" s="198"/>
      <c r="AO43" s="198"/>
      <c r="AP43" s="198"/>
      <c r="AQ43" s="198"/>
      <c r="AR43" s="198"/>
      <c r="AS43" s="198"/>
      <c r="AT43" s="198"/>
      <c r="AU43" s="198"/>
      <c r="AV43" s="198"/>
      <c r="AW43" s="198"/>
      <c r="AX43" s="198"/>
      <c r="AY43" s="198"/>
      <c r="AZ43" s="198"/>
      <c r="BA43" s="198"/>
      <c r="BB43" s="198"/>
      <c r="BC43" s="198"/>
      <c r="BD43" s="198"/>
      <c r="BE43" s="198"/>
      <c r="BF43" s="198"/>
      <c r="BG43" s="198"/>
      <c r="BH43" s="198"/>
      <c r="BI43" s="198"/>
      <c r="BJ43" s="198"/>
      <c r="BK43" s="198"/>
      <c r="BL43" s="198"/>
      <c r="BM43" s="198"/>
      <c r="BN43" s="198"/>
      <c r="BO43" s="198"/>
      <c r="BP43" s="198"/>
      <c r="BQ43" s="198"/>
    </row>
    <row r="44" spans="1:69" x14ac:dyDescent="0.2">
      <c r="A44" s="198"/>
      <c r="B44" s="198"/>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f>IF(B10="כן",10%,0)</f>
        <v>0.1</v>
      </c>
      <c r="AV44" s="198">
        <f>($E$15/24)</f>
        <v>0</v>
      </c>
      <c r="AW44" s="198">
        <f>AV44/(AV45+AV44)</f>
        <v>0</v>
      </c>
      <c r="AX44" s="198">
        <f>AU44*AW44</f>
        <v>0</v>
      </c>
      <c r="AY44" s="198"/>
      <c r="AZ44" s="198"/>
      <c r="BA44" s="198"/>
      <c r="BB44" s="198"/>
      <c r="BC44" s="198"/>
      <c r="BD44" s="198"/>
      <c r="BE44" s="198"/>
      <c r="BF44" s="198"/>
      <c r="BG44" s="198"/>
      <c r="BH44" s="198"/>
      <c r="BI44" s="198"/>
      <c r="BJ44" s="198"/>
      <c r="BK44" s="198"/>
      <c r="BL44" s="198"/>
      <c r="BM44" s="198"/>
      <c r="BN44" s="198"/>
      <c r="BO44" s="198"/>
      <c r="BP44" s="198"/>
      <c r="BQ44" s="198"/>
    </row>
    <row r="45" spans="1:69" x14ac:dyDescent="0.2">
      <c r="A45" s="198"/>
      <c r="B45" s="198"/>
      <c r="C45" s="198"/>
      <c r="D45" s="198"/>
      <c r="E45" s="198"/>
      <c r="F45" s="198"/>
      <c r="G45" s="198"/>
      <c r="H45" s="198"/>
      <c r="I45" s="198"/>
      <c r="J45" s="198"/>
      <c r="K45" s="198"/>
      <c r="L45" s="198"/>
      <c r="M45" s="198"/>
      <c r="N45" s="198"/>
      <c r="O45" s="198"/>
      <c r="P45" s="198"/>
      <c r="Q45" s="198"/>
      <c r="R45" s="198"/>
      <c r="S45" s="198"/>
      <c r="T45" s="198"/>
      <c r="U45" s="198"/>
      <c r="V45" s="198"/>
      <c r="W45" s="198"/>
      <c r="X45" s="198"/>
      <c r="Y45" s="198"/>
      <c r="Z45" s="198"/>
      <c r="AA45" s="198"/>
      <c r="AB45" s="198"/>
      <c r="AC45" s="198"/>
      <c r="AD45" s="198"/>
      <c r="AE45" s="198"/>
      <c r="AF45" s="198"/>
      <c r="AG45" s="198"/>
      <c r="AH45" s="198"/>
      <c r="AI45" s="198"/>
      <c r="AJ45" s="198"/>
      <c r="AK45" s="198"/>
      <c r="AL45" s="198"/>
      <c r="AM45" s="198"/>
      <c r="AN45" s="198"/>
      <c r="AO45" s="198"/>
      <c r="AP45" s="198"/>
      <c r="AQ45" s="198"/>
      <c r="AR45" s="198"/>
      <c r="AS45" s="198"/>
      <c r="AT45" s="198"/>
      <c r="AU45" s="198"/>
      <c r="AV45" s="198">
        <f>$E$16/30</f>
        <v>0.8</v>
      </c>
      <c r="AW45" s="198">
        <f>AV45/(AV44+AV45)</f>
        <v>1</v>
      </c>
      <c r="AX45" s="198">
        <f>AW45*AU44</f>
        <v>0.1</v>
      </c>
      <c r="AY45" s="198"/>
      <c r="AZ45" s="198"/>
      <c r="BA45" s="198"/>
      <c r="BB45" s="198"/>
      <c r="BC45" s="198"/>
      <c r="BD45" s="198"/>
      <c r="BE45" s="198"/>
      <c r="BF45" s="198"/>
      <c r="BG45" s="198"/>
      <c r="BH45" s="198"/>
      <c r="BI45" s="198"/>
      <c r="BJ45" s="198"/>
      <c r="BK45" s="198"/>
      <c r="BL45" s="198"/>
      <c r="BM45" s="198"/>
      <c r="BN45" s="198"/>
      <c r="BO45" s="198"/>
      <c r="BP45" s="198"/>
      <c r="BQ45" s="198"/>
    </row>
    <row r="46" spans="1:69" x14ac:dyDescent="0.2">
      <c r="A46" s="198"/>
      <c r="B46" s="198"/>
      <c r="C46" s="198"/>
      <c r="D46" s="198"/>
      <c r="E46" s="198"/>
      <c r="F46" s="198"/>
      <c r="G46" s="198"/>
      <c r="H46" s="198"/>
      <c r="I46" s="198"/>
      <c r="J46" s="198"/>
      <c r="K46" s="198"/>
      <c r="L46" s="198"/>
      <c r="M46" s="198"/>
      <c r="N46" s="198"/>
      <c r="O46" s="198"/>
      <c r="P46" s="198"/>
      <c r="Q46" s="198"/>
      <c r="R46" s="198"/>
      <c r="S46" s="198"/>
      <c r="T46" s="198"/>
      <c r="U46" s="198"/>
      <c r="V46" s="198"/>
      <c r="W46" s="198"/>
      <c r="X46" s="198"/>
      <c r="Y46" s="198"/>
      <c r="Z46" s="198"/>
      <c r="AA46" s="198"/>
      <c r="AB46" s="198"/>
      <c r="AC46" s="198"/>
      <c r="AD46" s="198"/>
      <c r="AE46" s="198"/>
      <c r="AF46" s="198"/>
      <c r="AG46" s="198"/>
      <c r="AH46" s="198"/>
      <c r="AI46" s="198"/>
      <c r="AJ46" s="198"/>
      <c r="AK46" s="198"/>
      <c r="AL46" s="198"/>
      <c r="AM46" s="198"/>
      <c r="AN46" s="198"/>
      <c r="AO46" s="198"/>
      <c r="AP46" s="198"/>
      <c r="AQ46" s="198"/>
      <c r="AR46" s="198"/>
      <c r="AS46" s="198"/>
      <c r="AT46" s="198"/>
      <c r="AU46" s="198"/>
      <c r="AV46" s="198"/>
      <c r="AW46" s="198"/>
      <c r="AX46" s="198"/>
      <c r="AY46" s="198"/>
      <c r="AZ46" s="198"/>
      <c r="BA46" s="198"/>
      <c r="BB46" s="198"/>
      <c r="BC46" s="198"/>
      <c r="BD46" s="198"/>
      <c r="BE46" s="198"/>
      <c r="BF46" s="198"/>
      <c r="BG46" s="198"/>
      <c r="BH46" s="198"/>
      <c r="BI46" s="198"/>
      <c r="BJ46" s="198"/>
      <c r="BK46" s="198"/>
      <c r="BL46" s="198"/>
      <c r="BM46" s="198"/>
      <c r="BN46" s="198"/>
      <c r="BO46" s="198"/>
      <c r="BP46" s="198"/>
      <c r="BQ46" s="198"/>
    </row>
    <row r="47" spans="1:69" x14ac:dyDescent="0.2">
      <c r="A47" s="198"/>
      <c r="B47" s="198"/>
      <c r="C47" s="198"/>
      <c r="D47" s="198"/>
      <c r="E47" s="198"/>
      <c r="F47" s="198"/>
      <c r="G47" s="198"/>
      <c r="H47" s="198"/>
      <c r="I47" s="198"/>
      <c r="J47" s="198"/>
      <c r="K47" s="198"/>
      <c r="L47" s="198"/>
      <c r="M47" s="198"/>
      <c r="N47" s="198"/>
      <c r="O47" s="198"/>
      <c r="P47" s="198"/>
      <c r="Q47" s="198"/>
      <c r="R47" s="198"/>
      <c r="S47" s="198"/>
      <c r="T47" s="198"/>
      <c r="U47" s="198"/>
      <c r="V47" s="198"/>
      <c r="W47" s="198"/>
      <c r="X47" s="198"/>
      <c r="Y47" s="198"/>
      <c r="Z47" s="198"/>
      <c r="AA47" s="198"/>
      <c r="AB47" s="198"/>
      <c r="AC47" s="198"/>
      <c r="AD47" s="198"/>
      <c r="AE47" s="198"/>
      <c r="AF47" s="198"/>
      <c r="AG47" s="198"/>
      <c r="AH47" s="198"/>
      <c r="AI47" s="198"/>
      <c r="AJ47" s="198"/>
      <c r="AK47" s="198"/>
      <c r="AL47" s="198"/>
      <c r="AM47" s="198"/>
      <c r="AN47" s="198"/>
      <c r="AO47" s="198"/>
      <c r="AP47" s="198"/>
      <c r="AQ47" s="198"/>
      <c r="AR47" s="198"/>
      <c r="AS47" s="198"/>
      <c r="AT47" s="198"/>
      <c r="AU47" s="198"/>
      <c r="AV47" s="198"/>
      <c r="AW47" s="198"/>
      <c r="AX47" s="198"/>
      <c r="AY47" s="198"/>
      <c r="AZ47" s="198"/>
      <c r="BA47" s="198"/>
      <c r="BB47" s="198"/>
      <c r="BC47" s="198"/>
      <c r="BD47" s="198"/>
      <c r="BE47" s="198"/>
      <c r="BF47" s="198"/>
      <c r="BG47" s="198"/>
      <c r="BH47" s="198"/>
      <c r="BI47" s="198"/>
      <c r="BJ47" s="198"/>
      <c r="BK47" s="198"/>
      <c r="BL47" s="198"/>
      <c r="BM47" s="198"/>
      <c r="BN47" s="198"/>
      <c r="BO47" s="198"/>
      <c r="BP47" s="198"/>
      <c r="BQ47" s="198"/>
    </row>
    <row r="48" spans="1:69" x14ac:dyDescent="0.2">
      <c r="A48" s="198"/>
      <c r="B48" s="198"/>
      <c r="C48" s="198"/>
      <c r="D48" s="198"/>
      <c r="E48" s="198"/>
      <c r="F48" s="198"/>
      <c r="G48" s="198"/>
      <c r="H48" s="198"/>
      <c r="I48" s="198"/>
      <c r="J48" s="198"/>
      <c r="K48" s="198"/>
      <c r="L48" s="198"/>
      <c r="M48" s="198"/>
      <c r="N48" s="198"/>
      <c r="O48" s="198"/>
      <c r="P48" s="198"/>
      <c r="Q48" s="198"/>
      <c r="R48" s="198"/>
      <c r="S48" s="198"/>
      <c r="T48" s="198"/>
      <c r="U48" s="198"/>
      <c r="V48" s="198"/>
      <c r="W48" s="198"/>
      <c r="X48" s="198"/>
      <c r="Y48" s="198"/>
      <c r="Z48" s="198"/>
      <c r="AA48" s="198"/>
      <c r="AB48" s="198"/>
      <c r="AC48" s="198"/>
      <c r="AD48" s="198"/>
      <c r="AE48" s="198"/>
      <c r="AF48" s="198"/>
      <c r="AG48" s="198"/>
      <c r="AH48" s="198"/>
      <c r="AI48" s="198"/>
      <c r="AJ48" s="198"/>
      <c r="AK48" s="198"/>
      <c r="AL48" s="198"/>
      <c r="AM48" s="198"/>
      <c r="AN48" s="198"/>
      <c r="AO48" s="198"/>
      <c r="AP48" s="198"/>
      <c r="AQ48" s="198"/>
      <c r="AR48" s="198"/>
      <c r="AS48" s="198"/>
      <c r="AT48" s="198"/>
      <c r="AU48" s="198"/>
      <c r="AV48" s="198"/>
      <c r="AW48" s="198"/>
      <c r="AX48" s="198"/>
      <c r="AY48" s="198"/>
      <c r="AZ48" s="198"/>
      <c r="BA48" s="198"/>
      <c r="BB48" s="198"/>
      <c r="BC48" s="198"/>
      <c r="BD48" s="198"/>
      <c r="BE48" s="198"/>
      <c r="BF48" s="198"/>
      <c r="BG48" s="198"/>
      <c r="BH48" s="198"/>
      <c r="BI48" s="198"/>
      <c r="BJ48" s="198"/>
      <c r="BK48" s="198"/>
      <c r="BL48" s="198"/>
      <c r="BM48" s="198"/>
      <c r="BN48" s="198"/>
      <c r="BO48" s="198"/>
      <c r="BP48" s="198"/>
      <c r="BQ48" s="198"/>
    </row>
    <row r="49" spans="1:69" x14ac:dyDescent="0.2">
      <c r="A49" s="198"/>
      <c r="B49" s="198"/>
      <c r="C49" s="198"/>
      <c r="D49" s="198"/>
      <c r="E49" s="198"/>
      <c r="F49" s="198"/>
      <c r="G49" s="198"/>
      <c r="H49" s="198"/>
      <c r="I49" s="198"/>
      <c r="J49" s="198"/>
      <c r="K49" s="198"/>
      <c r="L49" s="198"/>
      <c r="M49" s="198"/>
      <c r="N49" s="198"/>
      <c r="O49" s="198"/>
      <c r="P49" s="198"/>
      <c r="Q49" s="198"/>
      <c r="R49" s="198"/>
      <c r="S49" s="198"/>
      <c r="T49" s="198"/>
      <c r="U49" s="198"/>
      <c r="V49" s="198"/>
      <c r="W49" s="198"/>
      <c r="X49" s="198"/>
      <c r="Y49" s="198"/>
      <c r="Z49" s="198"/>
      <c r="AA49" s="198"/>
      <c r="AB49" s="198"/>
      <c r="AC49" s="198"/>
      <c r="AD49" s="198"/>
      <c r="AE49" s="198"/>
      <c r="AF49" s="198"/>
      <c r="AG49" s="198"/>
      <c r="AH49" s="198"/>
      <c r="AI49" s="198"/>
      <c r="AJ49" s="198"/>
      <c r="AK49" s="198"/>
      <c r="AL49" s="198"/>
      <c r="AM49" s="198"/>
      <c r="AN49" s="198"/>
      <c r="AO49" s="198"/>
      <c r="AP49" s="198"/>
      <c r="AQ49" s="198"/>
      <c r="AR49" s="198"/>
      <c r="AS49" s="198"/>
      <c r="AT49" s="198"/>
      <c r="AU49" s="198"/>
      <c r="AV49" s="198"/>
      <c r="AW49" s="198"/>
      <c r="AX49" s="198"/>
      <c r="AY49" s="198"/>
      <c r="AZ49" s="198"/>
      <c r="BA49" s="198"/>
      <c r="BB49" s="198"/>
      <c r="BC49" s="198"/>
      <c r="BD49" s="198"/>
      <c r="BE49" s="198"/>
      <c r="BF49" s="198"/>
      <c r="BG49" s="198"/>
      <c r="BH49" s="198"/>
      <c r="BI49" s="198"/>
      <c r="BJ49" s="198"/>
      <c r="BK49" s="198"/>
      <c r="BL49" s="198"/>
      <c r="BM49" s="198"/>
      <c r="BN49" s="198"/>
      <c r="BO49" s="198"/>
      <c r="BP49" s="198"/>
      <c r="BQ49" s="198"/>
    </row>
    <row r="50" spans="1:69" x14ac:dyDescent="0.2">
      <c r="A50" s="198"/>
      <c r="B50" s="198"/>
      <c r="C50" s="198"/>
      <c r="D50" s="198"/>
      <c r="E50" s="198"/>
      <c r="F50" s="198"/>
      <c r="G50" s="198"/>
      <c r="H50" s="198"/>
      <c r="I50" s="198"/>
      <c r="J50" s="198"/>
      <c r="K50" s="198"/>
      <c r="L50" s="198"/>
      <c r="M50" s="198"/>
      <c r="N50" s="198"/>
      <c r="O50" s="198"/>
      <c r="P50" s="198"/>
      <c r="Q50" s="198"/>
      <c r="R50" s="198"/>
      <c r="S50" s="198"/>
      <c r="T50" s="198"/>
      <c r="U50" s="198"/>
      <c r="V50" s="198"/>
      <c r="W50" s="198"/>
      <c r="X50" s="198"/>
      <c r="Y50" s="198"/>
      <c r="Z50" s="198"/>
      <c r="AA50" s="198"/>
      <c r="AB50" s="198"/>
      <c r="AC50" s="198"/>
      <c r="AD50" s="198"/>
      <c r="AE50" s="198"/>
      <c r="AF50" s="198"/>
      <c r="AG50" s="198"/>
      <c r="AH50" s="198"/>
      <c r="AI50" s="198"/>
      <c r="AJ50" s="198"/>
      <c r="AK50" s="198"/>
      <c r="AL50" s="198"/>
      <c r="AM50" s="198"/>
      <c r="AN50" s="198"/>
      <c r="AO50" s="198"/>
      <c r="AP50" s="198"/>
      <c r="AQ50" s="198"/>
      <c r="AR50" s="198"/>
      <c r="AS50" s="198"/>
      <c r="AT50" s="198"/>
      <c r="AU50" s="198"/>
      <c r="AV50" s="198"/>
      <c r="AW50" s="198"/>
      <c r="AX50" s="198"/>
      <c r="AY50" s="198"/>
      <c r="AZ50" s="198"/>
      <c r="BA50" s="198"/>
      <c r="BB50" s="198"/>
      <c r="BC50" s="198"/>
      <c r="BD50" s="198"/>
      <c r="BE50" s="198"/>
      <c r="BF50" s="198"/>
      <c r="BG50" s="198"/>
      <c r="BH50" s="198"/>
      <c r="BI50" s="198"/>
      <c r="BJ50" s="198"/>
      <c r="BK50" s="198"/>
      <c r="BL50" s="198"/>
      <c r="BM50" s="198"/>
      <c r="BN50" s="198"/>
      <c r="BO50" s="198"/>
      <c r="BP50" s="198"/>
      <c r="BQ50" s="198"/>
    </row>
    <row r="51" spans="1:69" x14ac:dyDescent="0.2">
      <c r="A51" s="198"/>
      <c r="B51" s="198"/>
      <c r="C51" s="198"/>
      <c r="D51" s="198"/>
      <c r="E51" s="198"/>
      <c r="F51" s="198"/>
      <c r="G51" s="198"/>
      <c r="H51" s="198"/>
      <c r="I51" s="198"/>
      <c r="J51" s="198"/>
      <c r="K51" s="198"/>
      <c r="L51" s="198"/>
      <c r="M51" s="198"/>
      <c r="N51" s="198"/>
      <c r="O51" s="198"/>
      <c r="P51" s="198"/>
      <c r="Q51" s="198"/>
      <c r="R51" s="198"/>
      <c r="S51" s="198"/>
      <c r="T51" s="198"/>
      <c r="U51" s="198"/>
      <c r="V51" s="198"/>
      <c r="W51" s="198"/>
      <c r="X51" s="198"/>
      <c r="Y51" s="198"/>
      <c r="Z51" s="198"/>
      <c r="AA51" s="198"/>
      <c r="AB51" s="198"/>
      <c r="AC51" s="198"/>
      <c r="AD51" s="198"/>
      <c r="AE51" s="198"/>
      <c r="AF51" s="198"/>
      <c r="AG51" s="198"/>
      <c r="AH51" s="198"/>
      <c r="AI51" s="198"/>
      <c r="AJ51" s="198"/>
      <c r="AK51" s="198"/>
      <c r="AL51" s="198"/>
      <c r="AM51" s="198"/>
      <c r="AN51" s="198"/>
      <c r="AO51" s="198"/>
      <c r="AP51" s="198"/>
      <c r="AQ51" s="198"/>
      <c r="AR51" s="198"/>
      <c r="AS51" s="198"/>
      <c r="AT51" s="198"/>
      <c r="AU51" s="198"/>
      <c r="AV51" s="198"/>
      <c r="AW51" s="198"/>
      <c r="AX51" s="198"/>
      <c r="AY51" s="198"/>
      <c r="AZ51" s="198"/>
      <c r="BA51" s="198"/>
      <c r="BB51" s="198"/>
      <c r="BC51" s="198"/>
      <c r="BD51" s="198"/>
      <c r="BE51" s="198"/>
      <c r="BF51" s="198"/>
      <c r="BG51" s="198"/>
      <c r="BH51" s="198"/>
      <c r="BI51" s="198"/>
      <c r="BJ51" s="198"/>
      <c r="BK51" s="198"/>
      <c r="BL51" s="198"/>
      <c r="BM51" s="198"/>
      <c r="BN51" s="198"/>
      <c r="BO51" s="198"/>
      <c r="BP51" s="198"/>
      <c r="BQ51" s="198"/>
    </row>
    <row r="52" spans="1:69" x14ac:dyDescent="0.2">
      <c r="A52" s="198"/>
      <c r="B52" s="198"/>
      <c r="C52" s="198"/>
      <c r="D52" s="198"/>
      <c r="E52" s="198"/>
      <c r="F52" s="198"/>
      <c r="G52" s="198"/>
      <c r="H52" s="198"/>
      <c r="I52" s="198"/>
      <c r="J52" s="198"/>
      <c r="K52" s="198"/>
      <c r="L52" s="198"/>
      <c r="M52" s="198"/>
      <c r="N52" s="198"/>
      <c r="O52" s="198"/>
      <c r="P52" s="198"/>
      <c r="Q52" s="198"/>
      <c r="R52" s="198"/>
      <c r="S52" s="198"/>
      <c r="T52" s="198"/>
      <c r="U52" s="198"/>
      <c r="V52" s="198"/>
      <c r="W52" s="198"/>
      <c r="X52" s="198"/>
      <c r="Y52" s="198"/>
      <c r="Z52" s="198"/>
      <c r="AA52" s="198"/>
      <c r="AB52" s="198"/>
      <c r="AC52" s="198"/>
      <c r="AD52" s="198"/>
      <c r="AE52" s="198"/>
      <c r="AF52" s="198"/>
      <c r="AG52" s="198"/>
      <c r="AH52" s="198"/>
      <c r="AI52" s="198"/>
      <c r="AJ52" s="198"/>
      <c r="AK52" s="198"/>
      <c r="AL52" s="198"/>
      <c r="AM52" s="198"/>
      <c r="AN52" s="198"/>
      <c r="AO52" s="198"/>
      <c r="AP52" s="198"/>
      <c r="AQ52" s="198"/>
      <c r="AR52" s="198"/>
      <c r="AS52" s="198"/>
      <c r="AT52" s="198"/>
      <c r="AU52" s="198"/>
      <c r="AV52" s="198"/>
      <c r="AW52" s="198"/>
      <c r="AX52" s="198"/>
      <c r="AY52" s="198"/>
      <c r="AZ52" s="198"/>
      <c r="BA52" s="198"/>
      <c r="BB52" s="198"/>
      <c r="BC52" s="198"/>
      <c r="BD52" s="198"/>
      <c r="BE52" s="198"/>
      <c r="BF52" s="198"/>
      <c r="BG52" s="198"/>
      <c r="BH52" s="198"/>
      <c r="BI52" s="198"/>
      <c r="BJ52" s="198"/>
      <c r="BK52" s="198"/>
      <c r="BL52" s="198"/>
      <c r="BM52" s="198"/>
      <c r="BN52" s="198"/>
      <c r="BO52" s="198"/>
      <c r="BP52" s="198"/>
      <c r="BQ52" s="198"/>
    </row>
    <row r="53" spans="1:69" x14ac:dyDescent="0.2">
      <c r="A53" s="198"/>
      <c r="B53" s="198"/>
      <c r="C53" s="198"/>
      <c r="D53" s="198"/>
      <c r="E53" s="198"/>
      <c r="F53" s="198"/>
      <c r="G53" s="198"/>
      <c r="H53" s="198"/>
      <c r="I53" s="198"/>
      <c r="J53" s="198"/>
      <c r="K53" s="198"/>
      <c r="L53" s="198"/>
      <c r="M53" s="198"/>
      <c r="N53" s="198"/>
      <c r="O53" s="198"/>
      <c r="P53" s="198"/>
      <c r="Q53" s="198"/>
      <c r="R53" s="198"/>
      <c r="S53" s="198"/>
      <c r="T53" s="198"/>
      <c r="U53" s="198"/>
      <c r="V53" s="198"/>
      <c r="W53" s="198"/>
      <c r="X53" s="198"/>
      <c r="Y53" s="198"/>
      <c r="Z53" s="198"/>
      <c r="AA53" s="198"/>
      <c r="AB53" s="198"/>
      <c r="AC53" s="198"/>
      <c r="AD53" s="198"/>
      <c r="AE53" s="198"/>
      <c r="AF53" s="198"/>
      <c r="AG53" s="198"/>
      <c r="AH53" s="198"/>
      <c r="AI53" s="198"/>
      <c r="AJ53" s="198"/>
      <c r="AK53" s="198"/>
      <c r="AL53" s="198"/>
      <c r="AM53" s="198"/>
      <c r="AN53" s="198"/>
      <c r="AO53" s="198"/>
      <c r="AP53" s="198"/>
      <c r="AQ53" s="198"/>
      <c r="AR53" s="198"/>
      <c r="AS53" s="198"/>
      <c r="AT53" s="198"/>
      <c r="AU53" s="198"/>
      <c r="AV53" s="198"/>
      <c r="AW53" s="198"/>
      <c r="AX53" s="198"/>
      <c r="AY53" s="198"/>
      <c r="AZ53" s="198"/>
      <c r="BA53" s="198"/>
      <c r="BB53" s="198"/>
      <c r="BC53" s="198"/>
      <c r="BD53" s="198"/>
      <c r="BE53" s="198"/>
      <c r="BF53" s="198"/>
      <c r="BG53" s="198"/>
      <c r="BH53" s="198"/>
      <c r="BI53" s="198"/>
      <c r="BJ53" s="198"/>
      <c r="BK53" s="198"/>
      <c r="BL53" s="198"/>
      <c r="BM53" s="198"/>
      <c r="BN53" s="198"/>
      <c r="BO53" s="198"/>
      <c r="BP53" s="198"/>
      <c r="BQ53" s="198"/>
    </row>
    <row r="54" spans="1:69" x14ac:dyDescent="0.2">
      <c r="A54" s="198"/>
      <c r="B54" s="198"/>
      <c r="C54" s="198"/>
      <c r="D54" s="198"/>
      <c r="E54" s="198"/>
      <c r="F54" s="198"/>
      <c r="G54" s="198"/>
      <c r="H54" s="198"/>
      <c r="I54" s="198"/>
      <c r="J54" s="198"/>
      <c r="K54" s="198"/>
      <c r="L54" s="198"/>
      <c r="M54" s="198"/>
      <c r="N54" s="198"/>
      <c r="O54" s="198"/>
      <c r="P54" s="198"/>
      <c r="Q54" s="198"/>
      <c r="R54" s="198"/>
      <c r="S54" s="198"/>
      <c r="T54" s="198"/>
      <c r="U54" s="198"/>
      <c r="V54" s="198"/>
      <c r="W54" s="198"/>
      <c r="X54" s="198"/>
      <c r="Y54" s="198"/>
      <c r="Z54" s="198"/>
      <c r="AA54" s="198"/>
      <c r="AB54" s="198"/>
      <c r="AC54" s="198"/>
      <c r="AD54" s="198"/>
      <c r="AE54" s="198"/>
      <c r="AF54" s="198"/>
      <c r="AG54" s="198"/>
      <c r="AH54" s="198"/>
      <c r="AI54" s="198"/>
      <c r="AJ54" s="198"/>
      <c r="AK54" s="198"/>
      <c r="AL54" s="198"/>
      <c r="AM54" s="198"/>
      <c r="AN54" s="198"/>
      <c r="AO54" s="198"/>
      <c r="AP54" s="198"/>
      <c r="AQ54" s="198"/>
      <c r="AR54" s="198"/>
      <c r="AS54" s="198"/>
      <c r="AT54" s="198"/>
      <c r="AU54" s="198"/>
      <c r="AV54" s="198"/>
      <c r="AW54" s="198"/>
      <c r="AX54" s="198"/>
      <c r="AY54" s="198"/>
      <c r="AZ54" s="198"/>
      <c r="BA54" s="198"/>
      <c r="BB54" s="198"/>
      <c r="BC54" s="198"/>
      <c r="BD54" s="198"/>
      <c r="BE54" s="198"/>
      <c r="BF54" s="198"/>
      <c r="BG54" s="198"/>
      <c r="BH54" s="198"/>
      <c r="BI54" s="198"/>
      <c r="BJ54" s="198"/>
      <c r="BK54" s="198"/>
      <c r="BL54" s="198"/>
      <c r="BM54" s="198"/>
      <c r="BN54" s="198"/>
      <c r="BO54" s="198"/>
      <c r="BP54" s="198"/>
      <c r="BQ54" s="198"/>
    </row>
    <row r="55" spans="1:69" x14ac:dyDescent="0.2">
      <c r="A55" s="198"/>
      <c r="B55" s="198"/>
      <c r="C55" s="198"/>
      <c r="D55" s="198"/>
      <c r="E55" s="198"/>
      <c r="F55" s="198"/>
      <c r="G55" s="198"/>
      <c r="H55" s="198"/>
      <c r="I55" s="198"/>
      <c r="J55" s="198"/>
      <c r="K55" s="198"/>
      <c r="L55" s="198"/>
      <c r="M55" s="198"/>
      <c r="N55" s="198"/>
      <c r="O55" s="198"/>
      <c r="P55" s="198"/>
      <c r="Q55" s="198"/>
      <c r="R55" s="198"/>
      <c r="S55" s="198"/>
      <c r="T55" s="198"/>
      <c r="U55" s="198"/>
      <c r="V55" s="198"/>
      <c r="W55" s="198"/>
      <c r="X55" s="198"/>
      <c r="Y55" s="198"/>
      <c r="Z55" s="198"/>
      <c r="AA55" s="198"/>
      <c r="AB55" s="198"/>
      <c r="AC55" s="198"/>
      <c r="AD55" s="198"/>
      <c r="AE55" s="198"/>
      <c r="AF55" s="198"/>
      <c r="AG55" s="198"/>
      <c r="AH55" s="198"/>
      <c r="AI55" s="198"/>
      <c r="AJ55" s="198"/>
      <c r="AK55" s="198"/>
      <c r="AL55" s="198"/>
      <c r="AM55" s="198"/>
      <c r="AN55" s="198"/>
      <c r="AO55" s="198"/>
      <c r="AP55" s="198"/>
      <c r="AQ55" s="198"/>
      <c r="AR55" s="198"/>
      <c r="AS55" s="198"/>
      <c r="AT55" s="198"/>
      <c r="AU55" s="198"/>
      <c r="AV55" s="198"/>
      <c r="AW55" s="198"/>
      <c r="AX55" s="198"/>
      <c r="AY55" s="198"/>
      <c r="AZ55" s="198"/>
      <c r="BA55" s="198"/>
      <c r="BB55" s="198"/>
      <c r="BC55" s="198"/>
      <c r="BD55" s="198"/>
      <c r="BE55" s="198"/>
      <c r="BF55" s="198"/>
      <c r="BG55" s="198"/>
      <c r="BH55" s="198"/>
      <c r="BI55" s="198"/>
      <c r="BJ55" s="198"/>
      <c r="BK55" s="198"/>
      <c r="BL55" s="198"/>
      <c r="BM55" s="198"/>
      <c r="BN55" s="198"/>
      <c r="BO55" s="198"/>
      <c r="BP55" s="198"/>
      <c r="BQ55" s="198"/>
    </row>
    <row r="56" spans="1:69" x14ac:dyDescent="0.2">
      <c r="A56" s="198"/>
      <c r="B56" s="198"/>
      <c r="C56" s="198"/>
      <c r="D56" s="198"/>
      <c r="E56" s="198"/>
      <c r="F56" s="198"/>
      <c r="G56" s="198"/>
      <c r="H56" s="198"/>
      <c r="I56" s="198"/>
      <c r="J56" s="198"/>
      <c r="K56" s="198"/>
      <c r="L56" s="198"/>
      <c r="M56" s="198"/>
      <c r="N56" s="198"/>
      <c r="O56" s="198"/>
      <c r="P56" s="198"/>
      <c r="Q56" s="198"/>
      <c r="R56" s="198"/>
      <c r="S56" s="198"/>
      <c r="T56" s="198"/>
      <c r="U56" s="198"/>
      <c r="V56" s="198"/>
      <c r="W56" s="198"/>
      <c r="X56" s="198"/>
      <c r="Y56" s="198"/>
      <c r="Z56" s="198"/>
      <c r="AA56" s="198"/>
      <c r="AB56" s="198"/>
      <c r="AC56" s="198"/>
      <c r="AD56" s="198"/>
      <c r="AE56" s="198"/>
      <c r="AF56" s="198"/>
      <c r="AG56" s="198"/>
      <c r="AH56" s="198"/>
      <c r="AI56" s="198"/>
      <c r="AJ56" s="198"/>
      <c r="AK56" s="198"/>
      <c r="AL56" s="198"/>
      <c r="AM56" s="198"/>
      <c r="AN56" s="198"/>
      <c r="AO56" s="198"/>
      <c r="AP56" s="198"/>
      <c r="AQ56" s="198"/>
      <c r="AR56" s="198"/>
      <c r="AS56" s="198"/>
      <c r="AT56" s="198"/>
      <c r="AU56" s="198"/>
      <c r="AV56" s="198"/>
      <c r="AW56" s="198"/>
      <c r="AX56" s="198"/>
      <c r="AY56" s="198"/>
      <c r="AZ56" s="198"/>
      <c r="BA56" s="198"/>
      <c r="BB56" s="198"/>
      <c r="BC56" s="198"/>
      <c r="BD56" s="198"/>
      <c r="BE56" s="198"/>
      <c r="BF56" s="198"/>
      <c r="BG56" s="198"/>
      <c r="BH56" s="198"/>
      <c r="BI56" s="198"/>
      <c r="BJ56" s="198"/>
      <c r="BK56" s="198"/>
      <c r="BL56" s="198"/>
      <c r="BM56" s="198"/>
      <c r="BN56" s="198"/>
      <c r="BO56" s="198"/>
      <c r="BP56" s="198"/>
      <c r="BQ56" s="198"/>
    </row>
    <row r="57" spans="1:69" x14ac:dyDescent="0.2">
      <c r="A57" s="198"/>
      <c r="B57" s="198"/>
      <c r="C57" s="198"/>
      <c r="D57" s="198"/>
      <c r="E57" s="198"/>
      <c r="F57" s="198"/>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8"/>
      <c r="AE57" s="198"/>
      <c r="AF57" s="198"/>
      <c r="AG57" s="198"/>
      <c r="AH57" s="198"/>
      <c r="AI57" s="198"/>
      <c r="AJ57" s="198"/>
      <c r="AK57" s="198"/>
      <c r="AL57" s="198"/>
      <c r="AM57" s="198"/>
      <c r="AN57" s="198"/>
      <c r="AO57" s="198"/>
      <c r="AP57" s="198"/>
      <c r="AQ57" s="198"/>
      <c r="AR57" s="198"/>
      <c r="AS57" s="198"/>
      <c r="AT57" s="198"/>
      <c r="AU57" s="198"/>
      <c r="AV57" s="198"/>
      <c r="AW57" s="198"/>
      <c r="AX57" s="198"/>
      <c r="AY57" s="198"/>
      <c r="AZ57" s="198"/>
      <c r="BA57" s="198"/>
      <c r="BB57" s="198"/>
      <c r="BC57" s="198"/>
      <c r="BD57" s="198"/>
      <c r="BE57" s="198"/>
      <c r="BF57" s="198"/>
      <c r="BG57" s="198"/>
      <c r="BH57" s="198"/>
      <c r="BI57" s="198"/>
      <c r="BJ57" s="198"/>
      <c r="BK57" s="198"/>
      <c r="BL57" s="198"/>
      <c r="BM57" s="198"/>
      <c r="BN57" s="198"/>
      <c r="BO57" s="198"/>
      <c r="BP57" s="198"/>
      <c r="BQ57" s="198"/>
    </row>
    <row r="58" spans="1:69" x14ac:dyDescent="0.2">
      <c r="A58" s="198"/>
      <c r="B58" s="198"/>
      <c r="C58" s="198"/>
      <c r="D58" s="198"/>
      <c r="E58" s="198"/>
      <c r="F58" s="198"/>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8"/>
      <c r="AE58" s="198"/>
      <c r="AF58" s="198"/>
      <c r="AG58" s="198"/>
      <c r="AH58" s="198"/>
      <c r="AI58" s="198"/>
      <c r="AJ58" s="198"/>
      <c r="AK58" s="198"/>
      <c r="AL58" s="198"/>
      <c r="AM58" s="198"/>
      <c r="AN58" s="198"/>
      <c r="AO58" s="198"/>
      <c r="AP58" s="198"/>
      <c r="AQ58" s="198"/>
      <c r="AR58" s="198"/>
      <c r="AS58" s="198"/>
      <c r="AT58" s="198"/>
      <c r="AU58" s="198"/>
      <c r="AV58" s="198"/>
      <c r="AW58" s="198"/>
      <c r="AX58" s="198"/>
      <c r="AY58" s="198"/>
      <c r="AZ58" s="198"/>
      <c r="BA58" s="198"/>
      <c r="BB58" s="198"/>
      <c r="BC58" s="198"/>
      <c r="BD58" s="198"/>
      <c r="BE58" s="198"/>
      <c r="BF58" s="198"/>
      <c r="BG58" s="198"/>
      <c r="BH58" s="198"/>
      <c r="BI58" s="198"/>
      <c r="BJ58" s="198"/>
      <c r="BK58" s="198"/>
      <c r="BL58" s="198"/>
      <c r="BM58" s="198"/>
      <c r="BN58" s="198"/>
      <c r="BO58" s="198"/>
      <c r="BP58" s="198"/>
      <c r="BQ58" s="198"/>
    </row>
    <row r="59" spans="1:69" x14ac:dyDescent="0.2">
      <c r="A59" s="198"/>
      <c r="B59" s="198"/>
      <c r="C59" s="198"/>
      <c r="D59" s="198"/>
      <c r="E59" s="198"/>
      <c r="F59" s="198"/>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8"/>
      <c r="AE59" s="198"/>
      <c r="AF59" s="198"/>
      <c r="AG59" s="198"/>
      <c r="AH59" s="198"/>
      <c r="AI59" s="198"/>
      <c r="AJ59" s="198"/>
      <c r="AK59" s="198"/>
      <c r="AL59" s="198"/>
      <c r="AM59" s="198"/>
      <c r="AN59" s="198"/>
      <c r="AO59" s="198"/>
      <c r="AP59" s="198"/>
      <c r="AQ59" s="198"/>
      <c r="AR59" s="198"/>
      <c r="AS59" s="198"/>
      <c r="AT59" s="198"/>
      <c r="AU59" s="198"/>
      <c r="AV59" s="198"/>
      <c r="AW59" s="198"/>
      <c r="AX59" s="198"/>
      <c r="AY59" s="198"/>
      <c r="AZ59" s="198"/>
      <c r="BA59" s="198"/>
      <c r="BB59" s="198"/>
      <c r="BC59" s="198"/>
      <c r="BD59" s="198"/>
      <c r="BE59" s="198"/>
      <c r="BF59" s="198"/>
      <c r="BG59" s="198"/>
      <c r="BH59" s="198"/>
      <c r="BI59" s="198"/>
      <c r="BJ59" s="198"/>
      <c r="BK59" s="198"/>
      <c r="BL59" s="198"/>
      <c r="BM59" s="198"/>
      <c r="BN59" s="198"/>
      <c r="BO59" s="198"/>
      <c r="BP59" s="198"/>
      <c r="BQ59" s="198"/>
    </row>
    <row r="60" spans="1:69" x14ac:dyDescent="0.2">
      <c r="J60" s="198"/>
      <c r="K60" s="198"/>
      <c r="L60" s="198"/>
      <c r="M60" s="198"/>
      <c r="N60" s="198"/>
      <c r="O60" s="198"/>
      <c r="P60" s="198"/>
      <c r="Q60" s="198"/>
      <c r="R60" s="198"/>
      <c r="S60" s="198"/>
      <c r="T60" s="198"/>
      <c r="U60" s="198"/>
      <c r="V60" s="198"/>
      <c r="W60" s="198"/>
      <c r="X60" s="198"/>
      <c r="Y60" s="198"/>
      <c r="Z60" s="198"/>
      <c r="AA60" s="198"/>
      <c r="AB60" s="198"/>
      <c r="AC60" s="198"/>
      <c r="AD60" s="198"/>
      <c r="AE60" s="198"/>
      <c r="AF60" s="198"/>
      <c r="AG60" s="198"/>
      <c r="AH60" s="198"/>
      <c r="AI60" s="198"/>
      <c r="AJ60" s="198"/>
      <c r="AK60" s="198"/>
      <c r="AL60" s="198"/>
      <c r="AM60" s="198"/>
      <c r="AN60" s="198"/>
      <c r="AO60" s="198"/>
      <c r="AP60" s="198"/>
      <c r="AQ60" s="198"/>
      <c r="AR60" s="198"/>
      <c r="AS60" s="198"/>
      <c r="AT60" s="198"/>
      <c r="AU60" s="198"/>
      <c r="AV60" s="198"/>
      <c r="AW60" s="198"/>
      <c r="AX60" s="198"/>
      <c r="AY60" s="198"/>
      <c r="AZ60" s="198"/>
      <c r="BA60" s="198"/>
      <c r="BB60" s="198"/>
      <c r="BC60" s="198"/>
      <c r="BD60" s="198"/>
      <c r="BE60" s="198"/>
      <c r="BF60" s="198"/>
      <c r="BG60" s="198"/>
      <c r="BH60" s="198"/>
      <c r="BI60" s="198"/>
      <c r="BJ60" s="198"/>
      <c r="BK60" s="198"/>
      <c r="BL60" s="198"/>
      <c r="BM60" s="198"/>
      <c r="BN60" s="198"/>
      <c r="BO60" s="198"/>
      <c r="BP60" s="198"/>
      <c r="BQ60" s="198"/>
    </row>
    <row r="61" spans="1:69" x14ac:dyDescent="0.2">
      <c r="J61" s="198"/>
      <c r="K61" s="198"/>
      <c r="L61" s="198"/>
      <c r="M61" s="198"/>
      <c r="N61" s="198"/>
      <c r="O61" s="198"/>
      <c r="P61" s="198"/>
      <c r="Q61" s="198"/>
      <c r="R61" s="198"/>
      <c r="S61" s="198"/>
      <c r="T61" s="198"/>
      <c r="U61" s="198"/>
      <c r="V61" s="198"/>
      <c r="W61" s="198"/>
      <c r="X61" s="198"/>
      <c r="Y61" s="198"/>
      <c r="Z61" s="198"/>
      <c r="AA61" s="198"/>
      <c r="AB61" s="198"/>
      <c r="AC61" s="198"/>
      <c r="AD61" s="198"/>
      <c r="AE61" s="198"/>
      <c r="AF61" s="198"/>
      <c r="AG61" s="198"/>
      <c r="AH61" s="198"/>
      <c r="AI61" s="198"/>
      <c r="AJ61" s="198"/>
      <c r="AK61" s="198"/>
      <c r="AL61" s="198"/>
      <c r="AM61" s="198"/>
      <c r="AN61" s="198"/>
      <c r="AO61" s="198"/>
      <c r="AP61" s="198"/>
      <c r="AQ61" s="198"/>
      <c r="AR61" s="198"/>
      <c r="AS61" s="198"/>
      <c r="AT61" s="198"/>
      <c r="AU61" s="198"/>
      <c r="AV61" s="198"/>
      <c r="AW61" s="198"/>
      <c r="AX61" s="198"/>
      <c r="AY61" s="198"/>
      <c r="AZ61" s="198"/>
      <c r="BA61" s="198"/>
      <c r="BB61" s="198"/>
      <c r="BC61" s="198"/>
      <c r="BD61" s="198"/>
      <c r="BE61" s="198"/>
      <c r="BF61" s="198"/>
      <c r="BG61" s="198"/>
      <c r="BH61" s="198"/>
      <c r="BI61" s="198"/>
      <c r="BJ61" s="198"/>
      <c r="BK61" s="198"/>
      <c r="BL61" s="198"/>
      <c r="BM61" s="198"/>
      <c r="BN61" s="198"/>
      <c r="BO61" s="198"/>
      <c r="BP61" s="198"/>
      <c r="BQ61" s="198"/>
    </row>
    <row r="62" spans="1:69" x14ac:dyDescent="0.2">
      <c r="J62" s="198"/>
      <c r="K62" s="198"/>
      <c r="L62" s="198"/>
      <c r="M62" s="198"/>
      <c r="N62" s="198"/>
      <c r="O62" s="198"/>
      <c r="P62" s="198"/>
      <c r="Q62" s="198"/>
      <c r="R62" s="198"/>
      <c r="S62" s="198"/>
      <c r="T62" s="198"/>
      <c r="U62" s="198"/>
      <c r="V62" s="198"/>
      <c r="W62" s="198"/>
      <c r="X62" s="198"/>
      <c r="Y62" s="198"/>
      <c r="Z62" s="198"/>
      <c r="AA62" s="198"/>
      <c r="AB62" s="198"/>
      <c r="AC62" s="198"/>
      <c r="AD62" s="198"/>
      <c r="AE62" s="198"/>
      <c r="AF62" s="198"/>
      <c r="AG62" s="198"/>
      <c r="AH62" s="198"/>
      <c r="AI62" s="198"/>
      <c r="AJ62" s="198"/>
      <c r="AK62" s="198"/>
      <c r="AL62" s="198"/>
      <c r="AM62" s="198"/>
      <c r="AN62" s="198"/>
      <c r="AO62" s="198"/>
      <c r="AP62" s="198"/>
      <c r="AQ62" s="198"/>
      <c r="AR62" s="198"/>
      <c r="AS62" s="198"/>
      <c r="AT62" s="198"/>
      <c r="AU62" s="198"/>
      <c r="AV62" s="198"/>
      <c r="AW62" s="198"/>
      <c r="AX62" s="198"/>
      <c r="AY62" s="198"/>
      <c r="AZ62" s="198"/>
      <c r="BA62" s="198"/>
      <c r="BB62" s="198"/>
      <c r="BC62" s="198"/>
      <c r="BD62" s="198"/>
      <c r="BE62" s="198"/>
      <c r="BF62" s="198"/>
      <c r="BG62" s="198"/>
      <c r="BH62" s="198"/>
      <c r="BI62" s="198"/>
      <c r="BJ62" s="198"/>
      <c r="BK62" s="198"/>
      <c r="BL62" s="198"/>
      <c r="BM62" s="198"/>
      <c r="BN62" s="198"/>
      <c r="BO62" s="198"/>
      <c r="BP62" s="198"/>
      <c r="BQ62" s="198"/>
    </row>
    <row r="63" spans="1:69" x14ac:dyDescent="0.2">
      <c r="J63" s="198"/>
      <c r="K63" s="198"/>
      <c r="L63" s="198"/>
      <c r="M63" s="198"/>
      <c r="N63" s="198"/>
      <c r="O63" s="198"/>
      <c r="P63" s="198"/>
      <c r="Q63" s="198"/>
      <c r="R63" s="198"/>
      <c r="S63" s="198"/>
      <c r="T63" s="198"/>
      <c r="U63" s="198"/>
      <c r="V63" s="198"/>
      <c r="W63" s="198"/>
      <c r="X63" s="198"/>
      <c r="Y63" s="198"/>
      <c r="Z63" s="198"/>
      <c r="AA63" s="198"/>
      <c r="AB63" s="198"/>
      <c r="AC63" s="198"/>
      <c r="AD63" s="198"/>
      <c r="AE63" s="198"/>
      <c r="AF63" s="198"/>
      <c r="AG63" s="198"/>
      <c r="AH63" s="198"/>
      <c r="AI63" s="198"/>
      <c r="AJ63" s="198"/>
      <c r="AK63" s="198"/>
      <c r="AL63" s="198"/>
      <c r="AM63" s="198"/>
      <c r="AN63" s="198"/>
      <c r="AO63" s="198"/>
      <c r="AP63" s="198"/>
      <c r="AQ63" s="198"/>
      <c r="AR63" s="198"/>
      <c r="AS63" s="198"/>
      <c r="AT63" s="198"/>
      <c r="AU63" s="198"/>
      <c r="AV63" s="198"/>
      <c r="AW63" s="198"/>
      <c r="AX63" s="198"/>
      <c r="AY63" s="198"/>
      <c r="AZ63" s="198"/>
      <c r="BA63" s="198"/>
      <c r="BB63" s="198"/>
      <c r="BC63" s="198"/>
      <c r="BD63" s="198"/>
      <c r="BE63" s="198"/>
      <c r="BF63" s="198"/>
      <c r="BG63" s="198"/>
      <c r="BH63" s="198"/>
      <c r="BI63" s="198"/>
      <c r="BJ63" s="198"/>
      <c r="BK63" s="198"/>
      <c r="BL63" s="198"/>
      <c r="BM63" s="198"/>
      <c r="BN63" s="198"/>
      <c r="BO63" s="198"/>
      <c r="BP63" s="198"/>
      <c r="BQ63" s="198"/>
    </row>
    <row r="64" spans="1:69" x14ac:dyDescent="0.2">
      <c r="J64" s="198"/>
      <c r="K64" s="198"/>
      <c r="L64" s="198"/>
      <c r="M64" s="198"/>
      <c r="N64" s="198"/>
      <c r="O64" s="198"/>
      <c r="P64" s="198"/>
      <c r="Q64" s="198"/>
      <c r="R64" s="198"/>
      <c r="S64" s="198"/>
      <c r="T64" s="198"/>
      <c r="U64" s="198"/>
      <c r="V64" s="198"/>
      <c r="W64" s="198"/>
      <c r="X64" s="198"/>
      <c r="Y64" s="198"/>
      <c r="Z64" s="198"/>
      <c r="AA64" s="198"/>
      <c r="AB64" s="198"/>
      <c r="AC64" s="198"/>
      <c r="AD64" s="198"/>
      <c r="AE64" s="198"/>
      <c r="AF64" s="198"/>
      <c r="AG64" s="198"/>
      <c r="AH64" s="198"/>
      <c r="AI64" s="198"/>
      <c r="AJ64" s="198"/>
      <c r="AK64" s="198"/>
      <c r="AL64" s="198"/>
      <c r="AM64" s="198"/>
      <c r="AN64" s="198"/>
      <c r="AO64" s="198"/>
      <c r="AP64" s="198"/>
      <c r="AQ64" s="198"/>
      <c r="AR64" s="198"/>
      <c r="AS64" s="198"/>
      <c r="AT64" s="198"/>
      <c r="AU64" s="198"/>
      <c r="AV64" s="198"/>
      <c r="AW64" s="198"/>
      <c r="AX64" s="198"/>
      <c r="AY64" s="198"/>
      <c r="AZ64" s="198"/>
      <c r="BA64" s="198"/>
      <c r="BB64" s="198"/>
      <c r="BC64" s="198"/>
      <c r="BD64" s="198"/>
      <c r="BE64" s="198"/>
      <c r="BF64" s="198"/>
      <c r="BG64" s="198"/>
      <c r="BH64" s="198"/>
      <c r="BI64" s="198"/>
      <c r="BJ64" s="198"/>
      <c r="BK64" s="198"/>
      <c r="BL64" s="198"/>
      <c r="BM64" s="198"/>
      <c r="BN64" s="198"/>
      <c r="BO64" s="198"/>
      <c r="BP64" s="198"/>
      <c r="BQ64" s="198"/>
    </row>
    <row r="65" spans="10:69" x14ac:dyDescent="0.2">
      <c r="J65" s="198"/>
      <c r="K65" s="198"/>
      <c r="L65" s="198"/>
      <c r="M65" s="198"/>
      <c r="N65" s="198"/>
      <c r="O65" s="198"/>
      <c r="P65" s="198"/>
      <c r="Q65" s="198"/>
      <c r="R65" s="198"/>
      <c r="S65" s="198"/>
      <c r="T65" s="198"/>
      <c r="U65" s="198"/>
      <c r="V65" s="198"/>
      <c r="W65" s="198"/>
      <c r="X65" s="198"/>
      <c r="Y65" s="198"/>
      <c r="Z65" s="198"/>
      <c r="AA65" s="198"/>
      <c r="AB65" s="198"/>
      <c r="AC65" s="198"/>
      <c r="AD65" s="198"/>
      <c r="AE65" s="198"/>
      <c r="AF65" s="198"/>
      <c r="AG65" s="198"/>
      <c r="AH65" s="198"/>
      <c r="AI65" s="198"/>
      <c r="AJ65" s="198"/>
      <c r="AK65" s="198"/>
      <c r="AL65" s="198"/>
      <c r="AM65" s="198"/>
      <c r="AN65" s="198"/>
      <c r="AO65" s="198"/>
      <c r="AP65" s="198"/>
      <c r="AQ65" s="198"/>
      <c r="AR65" s="198"/>
      <c r="AS65" s="198"/>
      <c r="AT65" s="198"/>
      <c r="AU65" s="198"/>
      <c r="AV65" s="198"/>
      <c r="AW65" s="198"/>
      <c r="AX65" s="198"/>
      <c r="AY65" s="198"/>
      <c r="AZ65" s="198"/>
      <c r="BA65" s="198"/>
      <c r="BB65" s="198"/>
      <c r="BC65" s="198"/>
      <c r="BD65" s="198"/>
      <c r="BE65" s="198"/>
      <c r="BF65" s="198"/>
      <c r="BG65" s="198"/>
      <c r="BH65" s="198"/>
      <c r="BI65" s="198"/>
      <c r="BJ65" s="198"/>
      <c r="BK65" s="198"/>
      <c r="BL65" s="198"/>
      <c r="BM65" s="198"/>
      <c r="BN65" s="198"/>
      <c r="BO65" s="198"/>
      <c r="BP65" s="198"/>
      <c r="BQ65" s="198"/>
    </row>
    <row r="66" spans="10:69" x14ac:dyDescent="0.2">
      <c r="J66" s="198"/>
      <c r="K66" s="198"/>
      <c r="L66" s="198"/>
      <c r="M66" s="198"/>
      <c r="N66" s="198"/>
      <c r="O66" s="198"/>
      <c r="P66" s="198"/>
      <c r="Q66" s="198"/>
      <c r="R66" s="198"/>
      <c r="S66" s="198"/>
      <c r="T66" s="198"/>
      <c r="U66" s="198"/>
      <c r="V66" s="198"/>
      <c r="W66" s="198"/>
      <c r="X66" s="198"/>
      <c r="Y66" s="198"/>
      <c r="Z66" s="198"/>
      <c r="AA66" s="198"/>
      <c r="AB66" s="198"/>
      <c r="AC66" s="198"/>
      <c r="AD66" s="198"/>
      <c r="AE66" s="198"/>
      <c r="AF66" s="198"/>
      <c r="AG66" s="198"/>
      <c r="AH66" s="198"/>
      <c r="AI66" s="198"/>
      <c r="AJ66" s="198"/>
      <c r="AK66" s="198"/>
      <c r="AL66" s="198"/>
      <c r="AM66" s="198"/>
      <c r="AN66" s="198"/>
      <c r="AO66" s="198"/>
      <c r="AP66" s="198"/>
      <c r="AQ66" s="198"/>
      <c r="AR66" s="198"/>
      <c r="AS66" s="198"/>
      <c r="AT66" s="198"/>
      <c r="AU66" s="198"/>
      <c r="AV66" s="198"/>
      <c r="AW66" s="198"/>
      <c r="AX66" s="198"/>
      <c r="AY66" s="198"/>
      <c r="AZ66" s="198"/>
      <c r="BA66" s="198"/>
      <c r="BB66" s="198"/>
      <c r="BC66" s="198"/>
      <c r="BD66" s="198"/>
      <c r="BE66" s="198"/>
      <c r="BF66" s="198"/>
      <c r="BG66" s="198"/>
      <c r="BH66" s="198"/>
      <c r="BI66" s="198"/>
      <c r="BJ66" s="198"/>
      <c r="BK66" s="198"/>
      <c r="BL66" s="198"/>
      <c r="BM66" s="198"/>
      <c r="BN66" s="198"/>
      <c r="BO66" s="198"/>
      <c r="BP66" s="198"/>
      <c r="BQ66" s="198"/>
    </row>
    <row r="67" spans="10:69" x14ac:dyDescent="0.2">
      <c r="J67" s="198"/>
      <c r="K67" s="198"/>
      <c r="L67" s="198"/>
      <c r="M67" s="198"/>
      <c r="N67" s="198"/>
      <c r="O67" s="198"/>
      <c r="P67" s="198"/>
      <c r="Q67" s="198"/>
      <c r="R67" s="198"/>
      <c r="S67" s="198"/>
      <c r="T67" s="198"/>
      <c r="U67" s="198"/>
      <c r="V67" s="198"/>
      <c r="W67" s="198"/>
      <c r="X67" s="198"/>
      <c r="Y67" s="198"/>
      <c r="Z67" s="198"/>
      <c r="AA67" s="198"/>
      <c r="AB67" s="198"/>
      <c r="AC67" s="198"/>
      <c r="AD67" s="198"/>
      <c r="AE67" s="198"/>
      <c r="AF67" s="198"/>
      <c r="AG67" s="198"/>
      <c r="AH67" s="198"/>
      <c r="AI67" s="198"/>
      <c r="AJ67" s="198"/>
      <c r="AK67" s="198"/>
      <c r="AL67" s="198"/>
      <c r="AM67" s="198"/>
      <c r="AN67" s="198"/>
      <c r="AO67" s="198"/>
      <c r="AP67" s="198"/>
      <c r="AQ67" s="198"/>
      <c r="AR67" s="198"/>
      <c r="AS67" s="198"/>
      <c r="AT67" s="198"/>
      <c r="AU67" s="198"/>
      <c r="AV67" s="198"/>
      <c r="AW67" s="198"/>
      <c r="AX67" s="198"/>
      <c r="AY67" s="198"/>
      <c r="AZ67" s="198"/>
      <c r="BA67" s="198"/>
      <c r="BB67" s="198"/>
      <c r="BC67" s="198"/>
      <c r="BD67" s="198"/>
      <c r="BE67" s="198"/>
      <c r="BF67" s="198"/>
      <c r="BG67" s="198"/>
      <c r="BH67" s="198"/>
      <c r="BI67" s="198"/>
      <c r="BJ67" s="198"/>
      <c r="BK67" s="198"/>
      <c r="BL67" s="198"/>
      <c r="BM67" s="198"/>
      <c r="BN67" s="198"/>
      <c r="BO67" s="198"/>
      <c r="BP67" s="198"/>
      <c r="BQ67" s="198"/>
    </row>
    <row r="68" spans="10:69" x14ac:dyDescent="0.2">
      <c r="J68" s="198"/>
      <c r="K68" s="198"/>
      <c r="L68" s="198"/>
      <c r="M68" s="198"/>
      <c r="N68" s="198"/>
      <c r="O68" s="198"/>
      <c r="P68" s="198"/>
      <c r="Q68" s="198"/>
      <c r="R68" s="198"/>
      <c r="S68" s="198"/>
      <c r="T68" s="198"/>
      <c r="U68" s="198"/>
      <c r="V68" s="198"/>
      <c r="W68" s="198"/>
      <c r="X68" s="198"/>
      <c r="Y68" s="198"/>
      <c r="Z68" s="198"/>
      <c r="AA68" s="198"/>
      <c r="AB68" s="198"/>
      <c r="AC68" s="198"/>
      <c r="AD68" s="198"/>
      <c r="AE68" s="198"/>
      <c r="AF68" s="198"/>
      <c r="AG68" s="198"/>
      <c r="AH68" s="198"/>
      <c r="AI68" s="198"/>
      <c r="AJ68" s="198"/>
      <c r="AK68" s="198"/>
      <c r="AL68" s="198"/>
      <c r="AM68" s="198"/>
      <c r="AN68" s="198"/>
      <c r="AO68" s="198"/>
      <c r="AP68" s="198"/>
      <c r="AQ68" s="198"/>
      <c r="AR68" s="198"/>
      <c r="AS68" s="198"/>
      <c r="AT68" s="198"/>
      <c r="AU68" s="198"/>
      <c r="AV68" s="198"/>
      <c r="AW68" s="198"/>
      <c r="AX68" s="198"/>
      <c r="AY68" s="198"/>
      <c r="AZ68" s="198"/>
      <c r="BA68" s="198"/>
      <c r="BB68" s="198"/>
      <c r="BC68" s="198"/>
      <c r="BD68" s="198"/>
      <c r="BE68" s="198"/>
      <c r="BF68" s="198"/>
      <c r="BG68" s="198"/>
      <c r="BH68" s="198"/>
      <c r="BI68" s="198"/>
      <c r="BJ68" s="198"/>
      <c r="BK68" s="198"/>
      <c r="BL68" s="198"/>
      <c r="BM68" s="198"/>
      <c r="BN68" s="198"/>
      <c r="BO68" s="198"/>
      <c r="BP68" s="198"/>
      <c r="BQ68" s="198"/>
    </row>
  </sheetData>
  <mergeCells count="1">
    <mergeCell ref="C17:E17"/>
  </mergeCells>
  <conditionalFormatting sqref="A12:C12 B13: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hyperlinks>
    <hyperlink ref="A14" r:id="rId1" xr:uid="{6BC81042-FC42-49B7-9C5A-EEB7CC2447CA}"/>
  </hyperlinks>
  <pageMargins left="0.7" right="0.7" top="0.75" bottom="0.75" header="0.3" footer="0.3"/>
  <pageSetup paperSize="9" orientation="portrait" horizontalDpi="1200" verticalDpi="12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3" zoomScaleNormal="100" workbookViewId="0">
      <selection activeCell="B21" sqref="B21"/>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50</v>
      </c>
      <c r="C1" s="23"/>
      <c r="D1" s="24"/>
      <c r="E1" s="24"/>
      <c r="F1" s="25"/>
      <c r="G1" s="26"/>
      <c r="H1" s="26" t="s">
        <v>51</v>
      </c>
      <c r="I1" s="26"/>
      <c r="J1" s="26"/>
      <c r="K1" s="26"/>
      <c r="L1" s="26"/>
      <c r="M1" s="26"/>
      <c r="N1" s="26"/>
      <c r="O1" s="26"/>
      <c r="P1" s="26" t="e">
        <f>N82</f>
        <v>#N/A</v>
      </c>
      <c r="Q1" s="26" t="e">
        <f>VLOOKUP($I$32,K157:L173,2)</f>
        <v>#N/A</v>
      </c>
      <c r="R1" s="26" t="s">
        <v>52</v>
      </c>
      <c r="S1" s="26">
        <f>ROUND((J4-AQ17)/365.25,2)</f>
        <v>-110.72</v>
      </c>
      <c r="T1" s="26"/>
      <c r="U1" s="26"/>
      <c r="V1" s="26"/>
      <c r="W1" s="26" t="s">
        <v>53</v>
      </c>
      <c r="X1" s="26">
        <f>IF(BG60-INT(BG60)=0.5,1,0)</f>
        <v>0</v>
      </c>
      <c r="Y1" s="26">
        <f>IF(X1=0,0,IF(BG60&lt;=7,3.75,4.25))</f>
        <v>0</v>
      </c>
      <c r="Z1" s="26"/>
      <c r="AA1" s="26" t="s">
        <v>54</v>
      </c>
      <c r="AB1" s="26"/>
      <c r="AC1" s="26"/>
      <c r="AD1" s="26"/>
      <c r="AE1" s="26"/>
      <c r="AF1" s="26"/>
      <c r="AG1" s="26"/>
      <c r="AH1" s="26"/>
      <c r="AI1" s="26"/>
      <c r="AJ1" s="26"/>
      <c r="AK1" s="26"/>
      <c r="AL1" s="26"/>
      <c r="AM1" s="26"/>
      <c r="AN1" s="26" t="s">
        <v>55</v>
      </c>
      <c r="AO1" s="26"/>
      <c r="AP1" s="26"/>
      <c r="AQ1" s="26"/>
      <c r="AR1" s="26"/>
      <c r="AS1" s="26"/>
      <c r="AT1" s="26"/>
      <c r="AU1" s="26"/>
      <c r="AV1" s="26"/>
      <c r="AW1" s="26"/>
      <c r="AX1" s="26"/>
      <c r="AY1" s="26"/>
      <c r="AZ1" s="26"/>
      <c r="BA1" s="26" t="s">
        <v>56</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57</v>
      </c>
      <c r="C2" s="28" t="s">
        <v>58</v>
      </c>
      <c r="D2" s="29"/>
      <c r="E2" s="29"/>
      <c r="F2" s="30" t="s">
        <v>607</v>
      </c>
      <c r="G2" s="26"/>
      <c r="H2" s="26"/>
      <c r="I2" s="26"/>
      <c r="J2" s="26"/>
      <c r="K2" s="26"/>
      <c r="L2" s="26"/>
      <c r="M2" s="26" t="s">
        <v>60</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61</v>
      </c>
      <c r="U2" s="26" t="s">
        <v>27</v>
      </c>
      <c r="V2" s="26"/>
      <c r="W2" s="26" t="s">
        <v>62</v>
      </c>
      <c r="X2" s="26">
        <v>0.03</v>
      </c>
      <c r="Y2" s="26">
        <f>1+(Y1/100)</f>
        <v>1</v>
      </c>
      <c r="Z2" s="26"/>
      <c r="AA2" s="26">
        <v>0</v>
      </c>
      <c r="AB2" s="26">
        <v>0</v>
      </c>
      <c r="AC2" s="26"/>
      <c r="AD2" s="26" t="s">
        <v>63</v>
      </c>
      <c r="AE2" s="26"/>
      <c r="AF2" s="26"/>
      <c r="AG2" s="26"/>
      <c r="AH2" s="26"/>
      <c r="AI2" s="26"/>
      <c r="AJ2" s="26"/>
      <c r="AK2" s="26"/>
      <c r="AL2" s="26"/>
      <c r="AM2" s="26"/>
      <c r="AN2" s="26" t="s">
        <v>64</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65</v>
      </c>
      <c r="N3" s="26">
        <f>J32</f>
        <v>0</v>
      </c>
      <c r="O3" s="26"/>
      <c r="P3" s="26" t="s">
        <v>66</v>
      </c>
      <c r="Q3" s="26" t="s">
        <v>67</v>
      </c>
      <c r="R3" s="26"/>
      <c r="S3" s="26"/>
      <c r="T3" s="26" t="s">
        <v>68</v>
      </c>
      <c r="U3" s="26" t="s">
        <v>69</v>
      </c>
      <c r="V3" s="26"/>
      <c r="W3" s="26" t="s">
        <v>70</v>
      </c>
      <c r="X3" s="26">
        <v>4.8099999999999997E-2</v>
      </c>
      <c r="Y3" s="26"/>
      <c r="Z3" s="26"/>
      <c r="AA3" s="26">
        <v>1</v>
      </c>
      <c r="AB3" s="26">
        <v>0.47499999999999998</v>
      </c>
      <c r="AC3" s="26" t="s">
        <v>57</v>
      </c>
      <c r="AD3" s="26">
        <v>0.09</v>
      </c>
      <c r="AE3" s="26" t="s">
        <v>71</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608</v>
      </c>
      <c r="C4" s="32"/>
      <c r="D4" s="208" t="s">
        <v>72</v>
      </c>
      <c r="E4" s="208"/>
      <c r="F4" s="208"/>
      <c r="G4" s="208"/>
      <c r="H4" s="26"/>
      <c r="I4" s="26"/>
      <c r="J4" s="26"/>
      <c r="K4" s="26"/>
      <c r="L4" s="26"/>
      <c r="M4" s="26"/>
      <c r="N4" s="26"/>
      <c r="O4" s="26"/>
      <c r="P4" s="26">
        <f>VLOOKUP(INT(1),horaa2,$AJ$8+2,FALSE)*$AB$44</f>
        <v>2967.49</v>
      </c>
      <c r="Q4" s="26"/>
      <c r="R4" s="26"/>
      <c r="S4" s="26"/>
      <c r="T4" s="26" t="s">
        <v>73</v>
      </c>
      <c r="U4" s="26" t="s">
        <v>74</v>
      </c>
      <c r="V4" s="26"/>
      <c r="W4" s="26"/>
      <c r="X4" s="26"/>
      <c r="Y4" s="26"/>
      <c r="Z4" s="26"/>
      <c r="AA4" s="26">
        <v>2</v>
      </c>
      <c r="AB4" s="26">
        <v>0.495</v>
      </c>
      <c r="AC4" s="26" t="s">
        <v>57</v>
      </c>
      <c r="AD4" s="26">
        <v>8.2500000000000004E-2</v>
      </c>
      <c r="AE4" s="26" t="s">
        <v>75</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76</v>
      </c>
      <c r="N5" s="26"/>
      <c r="O5" s="26"/>
      <c r="P5" s="26" t="s">
        <v>77</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57</v>
      </c>
      <c r="AD5" s="26">
        <v>7.4999999999999997E-2</v>
      </c>
      <c r="AE5" s="26" t="s">
        <v>78</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79</v>
      </c>
      <c r="E6" s="37"/>
      <c r="F6" s="40"/>
      <c r="G6" s="26"/>
      <c r="H6" s="26"/>
      <c r="I6" s="26"/>
      <c r="J6" s="26"/>
      <c r="K6" s="26"/>
      <c r="L6" s="26"/>
      <c r="M6" s="26"/>
      <c r="N6" s="26" t="s">
        <v>80</v>
      </c>
      <c r="O6" s="26" t="s">
        <v>81</v>
      </c>
      <c r="P6" s="26">
        <f>P4*C9</f>
        <v>0</v>
      </c>
      <c r="Q6" s="26"/>
      <c r="R6" s="26"/>
      <c r="S6" s="26"/>
      <c r="T6" s="26"/>
      <c r="U6" s="26"/>
      <c r="V6" s="26"/>
      <c r="W6" s="26"/>
      <c r="X6" s="26" t="s">
        <v>82</v>
      </c>
      <c r="Y6" s="26"/>
      <c r="Z6" s="26"/>
      <c r="AA6" s="26">
        <v>4</v>
      </c>
      <c r="AB6" s="26">
        <v>0.53</v>
      </c>
      <c r="AC6" s="26" t="s">
        <v>57</v>
      </c>
      <c r="AD6" s="26">
        <v>6.7500000000000004E-2</v>
      </c>
      <c r="AE6" s="26" t="s">
        <v>83</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84</v>
      </c>
      <c r="E7" s="38"/>
      <c r="F7" s="26"/>
      <c r="G7" s="26"/>
      <c r="H7" s="26"/>
      <c r="I7" s="26"/>
      <c r="J7" s="26"/>
      <c r="K7" s="26"/>
      <c r="L7" s="26"/>
      <c r="M7" s="26" t="s">
        <v>85</v>
      </c>
      <c r="N7" s="26">
        <f>I32</f>
        <v>0</v>
      </c>
      <c r="O7" s="26">
        <f>N7*C9</f>
        <v>0</v>
      </c>
      <c r="P7" s="26" t="s">
        <v>85</v>
      </c>
      <c r="Q7" s="26" t="e">
        <f>IF(BG61+BG62+H153&gt;=AO40,'[1]נתוני מס'!I16*Q26,0)</f>
        <v>#REF!</v>
      </c>
      <c r="R7" s="26"/>
      <c r="S7" s="26" t="s">
        <v>86</v>
      </c>
      <c r="T7" s="26">
        <f>ROUND((J4-AQ20)/365.25,2)</f>
        <v>-58.21</v>
      </c>
      <c r="U7" s="26" t="s">
        <v>87</v>
      </c>
      <c r="V7" s="26">
        <f>ROUND((AK25-AQ17)/365.25,2)</f>
        <v>0.36</v>
      </c>
      <c r="W7" s="26"/>
      <c r="X7" s="26" t="s">
        <v>6</v>
      </c>
      <c r="Y7" s="26"/>
      <c r="Z7" s="26"/>
      <c r="AA7" s="26">
        <v>5</v>
      </c>
      <c r="AB7" s="26">
        <v>0.54500000000000004</v>
      </c>
      <c r="AC7" s="26" t="s">
        <v>57</v>
      </c>
      <c r="AD7" s="26">
        <v>0.06</v>
      </c>
      <c r="AE7" s="26" t="s">
        <v>88</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89</v>
      </c>
      <c r="C8" s="42">
        <v>0</v>
      </c>
      <c r="D8" s="36" t="s">
        <v>90</v>
      </c>
      <c r="E8" s="37"/>
      <c r="F8" s="26"/>
      <c r="G8" s="26"/>
      <c r="H8" s="26"/>
      <c r="I8" s="26"/>
      <c r="J8" s="26"/>
      <c r="K8" s="26"/>
      <c r="L8" s="26"/>
      <c r="M8" s="26" t="s">
        <v>91</v>
      </c>
      <c r="N8" s="26">
        <f>IF(J29*N7&gt;0,J29*N7,0)</f>
        <v>0</v>
      </c>
      <c r="O8" s="26"/>
      <c r="P8" s="26" t="s">
        <v>92</v>
      </c>
      <c r="Q8" s="26">
        <f>IF(BG61&lt;26,'[1]נתוני מס'!I18*BC27,'[1]נתוני מס'!I19*BC27)</f>
        <v>2014</v>
      </c>
      <c r="R8" s="26"/>
      <c r="S8" s="26" t="s">
        <v>93</v>
      </c>
      <c r="T8" s="26" t="e">
        <f>IF(BG59=#REF!,59-T7,60-T7)</f>
        <v>#REF!</v>
      </c>
      <c r="U8" s="26" t="s">
        <v>94</v>
      </c>
      <c r="V8" s="26" t="e">
        <f>V7+T8</f>
        <v>#REF!</v>
      </c>
      <c r="W8" s="26"/>
      <c r="X8" s="26" t="s">
        <v>95</v>
      </c>
      <c r="Y8" s="26"/>
      <c r="Z8" s="26"/>
      <c r="AA8" s="26">
        <v>6</v>
      </c>
      <c r="AB8" s="26">
        <v>0.56499999999999995</v>
      </c>
      <c r="AC8" s="26" t="s">
        <v>57</v>
      </c>
      <c r="AD8" s="26">
        <v>5.2499999999999998E-2</v>
      </c>
      <c r="AE8" s="26" t="s">
        <v>96</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97</v>
      </c>
      <c r="C9" s="44">
        <v>0</v>
      </c>
      <c r="D9" s="210" t="s">
        <v>98</v>
      </c>
      <c r="E9" s="211"/>
      <c r="F9" s="26"/>
      <c r="G9" s="187" t="s">
        <v>605</v>
      </c>
      <c r="H9" s="26"/>
      <c r="I9" s="26"/>
      <c r="J9" s="26"/>
      <c r="K9" s="26"/>
      <c r="L9" s="26"/>
      <c r="M9" s="26" t="s">
        <v>99</v>
      </c>
      <c r="N9" s="26">
        <v>593</v>
      </c>
      <c r="O9" s="26"/>
      <c r="P9" s="26" t="s">
        <v>100</v>
      </c>
      <c r="Q9" s="26" t="e">
        <f>#REF!</f>
        <v>#REF!</v>
      </c>
      <c r="R9" s="26"/>
      <c r="S9" s="26" t="s">
        <v>101</v>
      </c>
      <c r="T9" s="26" t="e">
        <f>IF(AI28+T8&gt;36,36,AI28+T8)</f>
        <v>#REF!</v>
      </c>
      <c r="U9" s="26" t="s">
        <v>102</v>
      </c>
      <c r="V9" s="26">
        <f>F204</f>
        <v>6</v>
      </c>
      <c r="W9" s="26" t="s">
        <v>103</v>
      </c>
      <c r="X9" s="26" t="s">
        <v>104</v>
      </c>
      <c r="Y9" s="26"/>
      <c r="Z9" s="26"/>
      <c r="AA9" s="26">
        <v>7</v>
      </c>
      <c r="AB9" s="26">
        <v>0.58499999999999996</v>
      </c>
      <c r="AC9" s="26" t="s">
        <v>57</v>
      </c>
      <c r="AD9" s="26">
        <v>4.4999999999999998E-2</v>
      </c>
      <c r="AE9" s="26" t="s">
        <v>105</v>
      </c>
      <c r="AF9" s="26"/>
      <c r="AG9" s="26"/>
      <c r="AH9" s="26"/>
      <c r="AI9" s="26"/>
      <c r="AJ9" s="26"/>
      <c r="AK9" s="26"/>
      <c r="AL9" s="26"/>
      <c r="AM9" s="26"/>
      <c r="AN9" s="26">
        <v>4</v>
      </c>
      <c r="AO9" s="26" t="s">
        <v>57</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106</v>
      </c>
      <c r="DB9" s="26" t="s">
        <v>107</v>
      </c>
      <c r="DC9" s="26"/>
      <c r="DD9" s="26"/>
      <c r="DE9" s="26" t="s">
        <v>106</v>
      </c>
      <c r="DF9" s="26" t="s">
        <v>107</v>
      </c>
      <c r="DG9" s="26"/>
      <c r="DH9" s="26"/>
      <c r="DI9" s="26"/>
      <c r="DJ9" s="26"/>
      <c r="DK9" s="26"/>
      <c r="DL9" s="26"/>
      <c r="DM9" s="26"/>
      <c r="DN9" s="26"/>
      <c r="DO9" s="26"/>
      <c r="DP9" s="26"/>
      <c r="DQ9" s="26"/>
      <c r="DR9" s="26"/>
      <c r="DS9" s="26"/>
      <c r="DT9" s="26"/>
    </row>
    <row r="10" spans="1:124" ht="15.75" customHeight="1" x14ac:dyDescent="0.25">
      <c r="B10" s="41" t="s">
        <v>108</v>
      </c>
      <c r="C10" s="188">
        <f>F14</f>
        <v>0</v>
      </c>
      <c r="D10" s="45" t="s">
        <v>109</v>
      </c>
      <c r="E10" s="38"/>
      <c r="F10" s="26"/>
      <c r="G10" s="26"/>
      <c r="H10" s="186">
        <v>0</v>
      </c>
      <c r="I10" s="26"/>
      <c r="J10" s="26"/>
      <c r="K10" s="26"/>
      <c r="L10" s="26"/>
      <c r="M10" s="26" t="s">
        <v>6</v>
      </c>
      <c r="N10" s="26">
        <f>N7*C14</f>
        <v>0</v>
      </c>
      <c r="O10" s="26"/>
      <c r="P10" s="26" t="s">
        <v>85</v>
      </c>
      <c r="Q10" s="26" t="e">
        <f>G201</f>
        <v>#REF!</v>
      </c>
      <c r="R10" s="26">
        <f>VLOOKUP(INT(AB42),horaa2,AJ17+2,FALSE)*(1)*BC27</f>
        <v>6975.17</v>
      </c>
      <c r="S10" s="26" t="s">
        <v>111</v>
      </c>
      <c r="T10" s="26" t="e">
        <f>VLOOKUP(INT(T9),ofek4,V9+2,FALSE)*(1+AG36/100)*BC27*Y16*Y2</f>
        <v>#REF!</v>
      </c>
      <c r="U10" s="26" t="e">
        <f>VLOOKUP(INT(T9),ofek4,V9+2,FALSE)*(1+AG36/100)*BC27*Y16*Y2</f>
        <v>#REF!</v>
      </c>
      <c r="V10" s="26"/>
      <c r="W10" s="26"/>
      <c r="X10" s="26" t="s">
        <v>112</v>
      </c>
      <c r="Y10" s="26"/>
      <c r="Z10" s="26"/>
      <c r="AA10" s="26">
        <v>8</v>
      </c>
      <c r="AB10" s="26">
        <v>0.6</v>
      </c>
      <c r="AC10" s="26"/>
      <c r="AD10" s="26">
        <v>0</v>
      </c>
      <c r="AE10" s="26" t="s">
        <v>113</v>
      </c>
      <c r="AF10" s="26"/>
      <c r="AG10" s="26"/>
      <c r="AH10" s="26"/>
      <c r="AI10" s="26"/>
      <c r="AJ10" s="26"/>
      <c r="AK10" s="26"/>
      <c r="AL10" s="26"/>
      <c r="AM10" s="26"/>
      <c r="AN10" s="26">
        <v>4.5</v>
      </c>
      <c r="AO10" s="26" t="s">
        <v>57</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114</v>
      </c>
      <c r="CX10" s="26"/>
      <c r="CY10" s="26"/>
      <c r="CZ10" s="26"/>
      <c r="DA10" s="26"/>
      <c r="DB10" s="26"/>
      <c r="DC10" s="26"/>
      <c r="DD10" s="26"/>
      <c r="DE10" s="26"/>
      <c r="DF10" s="26"/>
      <c r="DG10" s="26"/>
      <c r="DH10" s="26"/>
      <c r="DI10" s="26"/>
      <c r="DJ10" s="26"/>
      <c r="DK10" s="26" t="s">
        <v>115</v>
      </c>
      <c r="DL10" s="26"/>
      <c r="DM10" s="26"/>
      <c r="DN10" s="26"/>
      <c r="DO10" s="26"/>
      <c r="DP10" s="26"/>
      <c r="DQ10" s="26"/>
      <c r="DR10" s="26"/>
      <c r="DS10" s="26"/>
      <c r="DT10" s="26"/>
    </row>
    <row r="11" spans="1:124" ht="15" x14ac:dyDescent="0.25">
      <c r="B11" s="46" t="s">
        <v>32</v>
      </c>
      <c r="C11" s="47">
        <v>0</v>
      </c>
      <c r="D11" s="210" t="s">
        <v>116</v>
      </c>
      <c r="E11" s="211"/>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57</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118</v>
      </c>
      <c r="CR11" s="26"/>
      <c r="CS11" s="26"/>
      <c r="CT11" s="26"/>
      <c r="CU11" s="26"/>
      <c r="CV11" s="26" t="s">
        <v>119</v>
      </c>
      <c r="CW11" s="26" t="s">
        <v>120</v>
      </c>
      <c r="CX11" s="26" t="s">
        <v>121</v>
      </c>
      <c r="CY11" s="26"/>
      <c r="CZ11" s="26" t="s">
        <v>119</v>
      </c>
      <c r="DA11" s="26" t="s">
        <v>120</v>
      </c>
      <c r="DB11" s="26" t="s">
        <v>120</v>
      </c>
      <c r="DC11" s="26"/>
      <c r="DD11" s="26" t="s">
        <v>119</v>
      </c>
      <c r="DE11" s="26" t="s">
        <v>122</v>
      </c>
      <c r="DF11" s="26" t="s">
        <v>122</v>
      </c>
      <c r="DG11" s="26"/>
      <c r="DH11" s="26"/>
      <c r="DI11" s="26"/>
      <c r="DJ11" s="26"/>
      <c r="DK11" s="26" t="s">
        <v>122</v>
      </c>
      <c r="DL11" s="26" t="s">
        <v>120</v>
      </c>
      <c r="DM11" s="26"/>
      <c r="DN11" s="26"/>
      <c r="DO11" s="26"/>
      <c r="DP11" s="26"/>
      <c r="DQ11" s="26"/>
      <c r="DR11" s="26"/>
      <c r="DS11" s="26"/>
      <c r="DT11" s="26"/>
    </row>
    <row r="12" spans="1:124" ht="15" x14ac:dyDescent="0.25">
      <c r="B12" s="46" t="s">
        <v>3</v>
      </c>
      <c r="C12" s="47">
        <v>0</v>
      </c>
      <c r="D12" s="210" t="s">
        <v>116</v>
      </c>
      <c r="E12" s="211"/>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57</v>
      </c>
      <c r="Z12" s="26"/>
      <c r="AA12" s="26">
        <v>1</v>
      </c>
      <c r="AB12" s="26">
        <v>0.63500000000000001</v>
      </c>
      <c r="AC12" s="26"/>
      <c r="AD12" s="26"/>
      <c r="AE12" s="26"/>
      <c r="AF12" s="26"/>
      <c r="AG12" s="26"/>
      <c r="AH12" s="26"/>
      <c r="AI12" s="26"/>
      <c r="AJ12" s="26"/>
      <c r="AK12" s="26"/>
      <c r="AL12" s="26"/>
      <c r="AM12" s="26"/>
      <c r="AN12" s="26">
        <v>5.5</v>
      </c>
      <c r="AO12" s="26" t="s">
        <v>57</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123</v>
      </c>
      <c r="CA12" s="26" t="s">
        <v>124</v>
      </c>
      <c r="CB12" s="26" t="s">
        <v>10</v>
      </c>
      <c r="CC12" s="26" t="s">
        <v>11</v>
      </c>
      <c r="CD12" s="26" t="s">
        <v>1</v>
      </c>
      <c r="CE12" s="26"/>
      <c r="CF12" s="26"/>
      <c r="CG12" s="26"/>
      <c r="CH12" s="26"/>
      <c r="CI12" s="26"/>
      <c r="CJ12" s="26"/>
      <c r="CK12" s="26"/>
      <c r="CL12" s="26"/>
      <c r="CM12" s="26"/>
      <c r="CN12" s="26"/>
      <c r="CO12" s="26"/>
      <c r="CP12" s="26"/>
      <c r="CQ12" s="26" t="s">
        <v>125</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122</v>
      </c>
      <c r="DI12" s="26"/>
      <c r="DJ12" s="26"/>
      <c r="DK12" s="26"/>
      <c r="DL12" s="26">
        <v>17.899999999999999</v>
      </c>
      <c r="DM12" s="26"/>
      <c r="DN12" s="26"/>
      <c r="DO12" s="26"/>
      <c r="DP12" s="26"/>
      <c r="DQ12" s="26"/>
      <c r="DR12" s="26"/>
      <c r="DS12" s="26"/>
      <c r="DT12" s="26"/>
    </row>
    <row r="13" spans="1:124" ht="15" x14ac:dyDescent="0.25">
      <c r="A13" s="48"/>
      <c r="B13" s="46" t="s">
        <v>5</v>
      </c>
      <c r="C13" s="47">
        <v>0</v>
      </c>
      <c r="D13" s="210" t="s">
        <v>116</v>
      </c>
      <c r="E13" s="211"/>
      <c r="F13" s="26"/>
      <c r="G13" s="26"/>
      <c r="H13" s="26"/>
      <c r="I13" s="26"/>
      <c r="J13" s="26"/>
      <c r="K13" s="26" t="e">
        <f>($I$7+$I$8+#REF!+$I$11+#REF!+500)*1.2%*($C$7)*C9</f>
        <v>#REF!</v>
      </c>
      <c r="L13" s="26" t="s">
        <v>127</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128</v>
      </c>
      <c r="Y13" s="26">
        <v>0.05</v>
      </c>
      <c r="Z13" s="26"/>
      <c r="AA13" s="26">
        <v>11</v>
      </c>
      <c r="AB13" s="26">
        <v>0.66</v>
      </c>
      <c r="AC13" s="26"/>
      <c r="AD13" s="26" t="s">
        <v>129</v>
      </c>
      <c r="AE13" s="26">
        <v>0</v>
      </c>
      <c r="AF13" s="26"/>
      <c r="AG13" s="26"/>
      <c r="AH13" s="26"/>
      <c r="AI13" s="26"/>
      <c r="AJ13" s="26"/>
      <c r="AK13" s="26"/>
      <c r="AL13" s="26"/>
      <c r="AM13" s="26"/>
      <c r="AN13" s="26">
        <v>6</v>
      </c>
      <c r="AO13" s="26" t="s">
        <v>57</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130</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10" t="s">
        <v>131</v>
      </c>
      <c r="E14" s="211"/>
      <c r="F14" s="26">
        <f>F16*(F15+1)</f>
        <v>0</v>
      </c>
      <c r="G14" s="26"/>
      <c r="H14" s="26"/>
      <c r="I14" s="26"/>
      <c r="J14" s="26"/>
      <c r="K14" s="26" t="e">
        <f>($I$7+$I$8+#REF!+$I$11+#REF!+500)*1.2%*($C$8)*C9</f>
        <v>#REF!</v>
      </c>
      <c r="L14" s="26" t="s">
        <v>132</v>
      </c>
      <c r="M14" s="26"/>
      <c r="N14" s="26"/>
      <c r="O14" s="26"/>
      <c r="P14" s="26" t="str">
        <f>IF(C151=0," = הזן  נתונים  מימין ==&gt;",B151)</f>
        <v>הסכם 87</v>
      </c>
      <c r="Q14" s="26">
        <v>0</v>
      </c>
      <c r="R14" s="26">
        <f>Q14</f>
        <v>0</v>
      </c>
      <c r="S14" s="26">
        <f>H12</f>
        <v>0</v>
      </c>
      <c r="T14" s="26">
        <v>0</v>
      </c>
      <c r="U14" s="26"/>
      <c r="V14" s="26"/>
      <c r="W14" s="26"/>
      <c r="X14" s="26" t="s">
        <v>133</v>
      </c>
      <c r="Y14" s="26">
        <v>0.10249999999999999</v>
      </c>
      <c r="Z14" s="26"/>
      <c r="AA14" s="26">
        <v>12</v>
      </c>
      <c r="AB14" s="26">
        <v>0.68</v>
      </c>
      <c r="AC14" s="26"/>
      <c r="AD14" s="26" t="s">
        <v>134</v>
      </c>
      <c r="AE14" s="26">
        <f>AB44</f>
        <v>1</v>
      </c>
      <c r="AF14" s="26"/>
      <c r="AG14" s="26"/>
      <c r="AH14" s="26">
        <v>5</v>
      </c>
      <c r="AI14" s="26"/>
      <c r="AJ14" s="26" t="s">
        <v>135</v>
      </c>
      <c r="AK14" s="26"/>
      <c r="AL14" s="26" t="e">
        <f>#REF!</f>
        <v>#REF!</v>
      </c>
      <c r="AM14" s="26"/>
      <c r="AN14" s="26">
        <v>6.5</v>
      </c>
      <c r="AO14" s="26" t="s">
        <v>57</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136</v>
      </c>
      <c r="CA14" s="26" t="s">
        <v>137</v>
      </c>
      <c r="CB14" s="26" t="s">
        <v>138</v>
      </c>
      <c r="CC14" s="26"/>
      <c r="CD14" s="26"/>
      <c r="CE14" s="26"/>
      <c r="CF14" s="26"/>
      <c r="CG14" s="26" t="s">
        <v>139</v>
      </c>
      <c r="CH14" s="26"/>
      <c r="CI14" s="26"/>
      <c r="CJ14" s="26"/>
      <c r="CK14" s="26" t="s">
        <v>140</v>
      </c>
      <c r="CL14" s="26"/>
      <c r="CM14" s="26"/>
      <c r="CN14" s="26"/>
      <c r="CO14" s="26"/>
      <c r="CP14" s="26"/>
      <c r="CQ14" s="26" t="s">
        <v>141</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142</v>
      </c>
      <c r="C15" s="49">
        <v>0</v>
      </c>
      <c r="D15" s="210" t="s">
        <v>143</v>
      </c>
      <c r="E15" s="211">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57</v>
      </c>
      <c r="AV15" s="26">
        <f>BG61+BG62</f>
        <v>33</v>
      </c>
      <c r="AW15" s="26">
        <f>IF(AW16=0,0,1)</f>
        <v>1</v>
      </c>
      <c r="AX15" s="26"/>
      <c r="AY15" s="26"/>
      <c r="AZ15" s="26" t="s">
        <v>57</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144</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145</v>
      </c>
      <c r="DM15" s="26"/>
      <c r="DN15" s="26"/>
      <c r="DO15" s="26"/>
      <c r="DP15" s="26"/>
      <c r="DQ15" s="26"/>
      <c r="DR15" s="26"/>
      <c r="DS15" s="26"/>
      <c r="DT15" s="26"/>
    </row>
    <row r="16" spans="1:124" ht="18.75" customHeight="1" x14ac:dyDescent="0.25">
      <c r="B16" s="34" t="s">
        <v>146</v>
      </c>
      <c r="C16" s="39">
        <v>1</v>
      </c>
      <c r="D16" s="210" t="s">
        <v>147</v>
      </c>
      <c r="E16" s="211"/>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149</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57</v>
      </c>
      <c r="BA16" s="26">
        <v>14</v>
      </c>
      <c r="BB16" s="26">
        <v>0.312</v>
      </c>
      <c r="BC16" s="26"/>
      <c r="BD16" s="26"/>
      <c r="BE16" s="26"/>
      <c r="BF16" s="26"/>
      <c r="BG16" s="26"/>
      <c r="BH16" s="26"/>
      <c r="BI16" s="26"/>
      <c r="BJ16" s="26"/>
      <c r="BK16" s="26" t="s">
        <v>150</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151</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152</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153</v>
      </c>
      <c r="E17" s="38"/>
      <c r="F17" s="26"/>
      <c r="G17" s="26"/>
      <c r="H17" s="26"/>
      <c r="I17" s="26"/>
      <c r="J17" s="26"/>
      <c r="K17" s="26"/>
      <c r="L17" s="26"/>
      <c r="M17" s="26"/>
      <c r="N17" s="26"/>
      <c r="O17" s="26"/>
      <c r="P17" s="26" t="s">
        <v>154</v>
      </c>
      <c r="Q17" s="26">
        <v>0</v>
      </c>
      <c r="R17" s="26">
        <f>R10*1.2%*C8</f>
        <v>0</v>
      </c>
      <c r="S17" s="26" t="s">
        <v>154</v>
      </c>
      <c r="T17" s="26">
        <v>0</v>
      </c>
      <c r="U17" s="26"/>
      <c r="V17" s="26"/>
      <c r="W17" s="26"/>
      <c r="X17" s="26"/>
      <c r="Y17" s="26"/>
      <c r="Z17" s="26"/>
      <c r="AA17" s="26" t="s">
        <v>155</v>
      </c>
      <c r="AB17" s="26" t="s">
        <v>69</v>
      </c>
      <c r="AC17" s="26"/>
      <c r="AD17" s="26"/>
      <c r="AE17" s="26"/>
      <c r="AF17" s="26"/>
      <c r="AG17" s="26"/>
      <c r="AH17" s="26">
        <v>67</v>
      </c>
      <c r="AI17" s="26">
        <f>IF(MONTH(J4)=9,1,0)</f>
        <v>0</v>
      </c>
      <c r="AJ17" s="26">
        <f>HLOOKUP(BG59,kothor1,3,FALSE)</f>
        <v>1</v>
      </c>
      <c r="AK17" s="26">
        <f>HLOOKUP(BG59,kothor1,2,FALSE)</f>
        <v>1</v>
      </c>
      <c r="AL17" s="26" t="s">
        <v>156</v>
      </c>
      <c r="AM17" s="26">
        <v>39844</v>
      </c>
      <c r="AN17" s="26">
        <v>8</v>
      </c>
      <c r="AO17" s="26">
        <v>8.5</v>
      </c>
      <c r="AP17" s="26" t="s">
        <v>157</v>
      </c>
      <c r="AQ17" s="26">
        <v>40442</v>
      </c>
      <c r="AR17" s="26"/>
      <c r="AS17" s="26"/>
      <c r="AT17" s="26"/>
      <c r="AU17" s="26" t="e">
        <f>"06/"&amp;MID(AV17,1,4)</f>
        <v>#NUM!</v>
      </c>
      <c r="AV17" s="26" t="e">
        <f>YEAR(AV16+J4)+AW15</f>
        <v>#NUM!</v>
      </c>
      <c r="AW17" s="26" t="s">
        <v>158</v>
      </c>
      <c r="AX17" s="26"/>
      <c r="AY17" s="26"/>
      <c r="AZ17" s="26"/>
      <c r="BA17" s="26">
        <v>15</v>
      </c>
      <c r="BB17" s="26">
        <v>0.33600000000000002</v>
      </c>
      <c r="BC17" s="26"/>
      <c r="BD17" s="26"/>
      <c r="BE17" s="26" t="s">
        <v>159</v>
      </c>
      <c r="BF17" s="26" t="s">
        <v>160</v>
      </c>
      <c r="BG17" s="26" t="s">
        <v>161</v>
      </c>
      <c r="BH17" s="26"/>
      <c r="BI17" s="26"/>
      <c r="BJ17" s="26"/>
      <c r="BK17" s="26" t="s">
        <v>162</v>
      </c>
      <c r="BL17" s="26">
        <f>F159</f>
        <v>0</v>
      </c>
      <c r="BM17" s="26"/>
      <c r="BN17" s="26"/>
      <c r="BO17" s="26"/>
      <c r="BP17" s="26"/>
      <c r="BQ17" s="26" t="s">
        <v>163</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164</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165</v>
      </c>
      <c r="C18" s="190">
        <f>K66</f>
        <v>1</v>
      </c>
      <c r="D18" s="212" t="s">
        <v>153</v>
      </c>
      <c r="E18" s="213"/>
      <c r="F18" s="26" t="s">
        <v>106</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57</v>
      </c>
      <c r="AE18" s="26"/>
      <c r="AF18" s="26" t="e">
        <f>1-#REF!/(#REF!+#REF!)</f>
        <v>#REF!</v>
      </c>
      <c r="AG18" s="26"/>
      <c r="AH18" s="26"/>
      <c r="AI18" s="26"/>
      <c r="AJ18" s="26"/>
      <c r="AK18" s="26"/>
      <c r="AL18" s="26" t="s">
        <v>166</v>
      </c>
      <c r="AM18" s="26">
        <v>39872</v>
      </c>
      <c r="AN18" s="26">
        <v>8.5</v>
      </c>
      <c r="AO18" s="26">
        <v>9</v>
      </c>
      <c r="AP18" s="26"/>
      <c r="AQ18" s="26"/>
      <c r="AR18" s="26"/>
      <c r="AS18" s="26" t="s">
        <v>167</v>
      </c>
      <c r="AT18" s="26"/>
      <c r="AU18" s="26"/>
      <c r="AV18" s="26"/>
      <c r="AW18" s="26"/>
      <c r="AX18" s="26"/>
      <c r="AY18" s="26" t="s">
        <v>168</v>
      </c>
      <c r="AZ18" s="26"/>
      <c r="BA18" s="26">
        <v>16</v>
      </c>
      <c r="BB18" s="26">
        <v>0.36</v>
      </c>
      <c r="BC18" s="26"/>
      <c r="BD18" s="26"/>
      <c r="BE18" s="26" t="s">
        <v>169</v>
      </c>
      <c r="BF18" s="26" t="s">
        <v>169</v>
      </c>
      <c r="BG18" s="26" t="s">
        <v>170</v>
      </c>
      <c r="BH18" s="26" t="s">
        <v>171</v>
      </c>
      <c r="BI18" s="26" t="s">
        <v>172</v>
      </c>
      <c r="BJ18" s="26" t="s">
        <v>173</v>
      </c>
      <c r="BK18" s="26" t="s">
        <v>174</v>
      </c>
      <c r="BL18" s="26"/>
      <c r="BM18" s="26"/>
      <c r="BN18" s="26"/>
      <c r="BO18" s="26"/>
      <c r="BP18" s="26"/>
      <c r="BQ18" s="26">
        <v>1114297</v>
      </c>
      <c r="BR18" s="26"/>
      <c r="BS18" s="26" t="s">
        <v>175</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176</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177</v>
      </c>
      <c r="DM18" s="26"/>
      <c r="DN18" s="26"/>
      <c r="DO18" s="26"/>
      <c r="DP18" s="26"/>
      <c r="DQ18" s="26"/>
      <c r="DR18" s="26"/>
      <c r="DS18" s="26"/>
      <c r="DT18" s="26"/>
    </row>
    <row r="19" spans="2:124" ht="15" x14ac:dyDescent="0.25">
      <c r="B19" s="34" t="s">
        <v>178</v>
      </c>
      <c r="C19" s="35" t="s">
        <v>106</v>
      </c>
      <c r="D19" s="210" t="s">
        <v>179</v>
      </c>
      <c r="E19" s="211"/>
      <c r="F19" s="26" t="s">
        <v>180</v>
      </c>
      <c r="G19" s="26" t="s">
        <v>181</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57</v>
      </c>
      <c r="W19" s="26">
        <v>1</v>
      </c>
      <c r="X19" s="26"/>
      <c r="Y19" s="26"/>
      <c r="Z19" s="26"/>
      <c r="AA19" s="26" t="s">
        <v>182</v>
      </c>
      <c r="AB19" s="26">
        <v>5</v>
      </c>
      <c r="AC19" s="26"/>
      <c r="AD19" s="26"/>
      <c r="AE19" s="26" t="s">
        <v>57</v>
      </c>
      <c r="AF19" s="26" t="s">
        <v>57</v>
      </c>
      <c r="AG19" s="26" t="s">
        <v>183</v>
      </c>
      <c r="AH19" s="26"/>
      <c r="AI19" s="26"/>
      <c r="AJ19" s="26"/>
      <c r="AK19" s="26"/>
      <c r="AL19" s="26" t="s">
        <v>184</v>
      </c>
      <c r="AM19" s="26">
        <v>39903</v>
      </c>
      <c r="AN19" s="26">
        <v>9</v>
      </c>
      <c r="AO19" s="26" t="s">
        <v>185</v>
      </c>
      <c r="AP19" s="26" t="s">
        <v>100</v>
      </c>
      <c r="AQ19" s="26" t="s">
        <v>186</v>
      </c>
      <c r="AR19" s="26">
        <f>'[1]נתוני מס'!I22</f>
        <v>395</v>
      </c>
      <c r="AS19" s="26">
        <v>10</v>
      </c>
      <c r="AT19" s="26"/>
      <c r="AU19" s="26" t="s">
        <v>187</v>
      </c>
      <c r="AV19" s="26"/>
      <c r="AW19" s="26"/>
      <c r="AX19" s="26"/>
      <c r="AY19" s="26">
        <f>AQ20</f>
        <v>21262</v>
      </c>
      <c r="AZ19" s="26" t="s">
        <v>188</v>
      </c>
      <c r="BA19" s="26" t="s">
        <v>189</v>
      </c>
      <c r="BB19" s="26">
        <f>VLOOKUP(BG69,nihool,2,FALSE)</f>
        <v>0</v>
      </c>
      <c r="BC19" s="26"/>
      <c r="BD19" s="26"/>
      <c r="BE19" s="26" t="s">
        <v>174</v>
      </c>
      <c r="BF19" s="26" t="s">
        <v>190</v>
      </c>
      <c r="BG19" s="26" t="e">
        <f>#REF!/12</f>
        <v>#REF!</v>
      </c>
      <c r="BH19" s="26" t="e">
        <f>#REF!</f>
        <v>#REF!</v>
      </c>
      <c r="BI19" s="26" t="e">
        <f>#REF!/12-BJ102</f>
        <v>#REF!</v>
      </c>
      <c r="BJ19" s="26" t="e">
        <f>(12*(F222-Q26)+BG77)/12</f>
        <v>#REF!</v>
      </c>
      <c r="BK19" s="26" t="e">
        <f>(#REF!*((12-BJ31/12))+BG77/12*BJ32)/12+F159+BJ20*((12-BJ32)/12)</f>
        <v>#REF!</v>
      </c>
      <c r="BL19" s="26"/>
      <c r="BM19" s="26"/>
      <c r="BN19" s="26" t="s">
        <v>191</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192</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10"/>
      <c r="E20" s="211"/>
      <c r="F20" s="26"/>
      <c r="G20" s="26" t="s">
        <v>194</v>
      </c>
      <c r="H20" s="26"/>
      <c r="I20" s="26"/>
      <c r="J20" s="26"/>
      <c r="K20" s="26"/>
      <c r="L20" s="26"/>
      <c r="M20" s="26"/>
      <c r="N20" s="26"/>
      <c r="O20" s="26" t="e">
        <f>D155*C9</f>
        <v>#N/A</v>
      </c>
      <c r="P20" s="26" t="s">
        <v>99</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195</v>
      </c>
      <c r="AB20" s="26" t="s">
        <v>69</v>
      </c>
      <c r="AC20" s="26"/>
      <c r="AD20" s="26" t="s">
        <v>196</v>
      </c>
      <c r="AE20" s="26" t="s">
        <v>57</v>
      </c>
      <c r="AF20" s="26" t="s">
        <v>57</v>
      </c>
      <c r="AG20" s="26" t="s">
        <v>197</v>
      </c>
      <c r="AH20" s="26"/>
      <c r="AI20" s="26"/>
      <c r="AJ20" s="26" t="s">
        <v>198</v>
      </c>
      <c r="AK20" s="26"/>
      <c r="AL20" s="26" t="s">
        <v>199</v>
      </c>
      <c r="AM20" s="26">
        <v>39933</v>
      </c>
      <c r="AN20" s="26"/>
      <c r="AO20" s="26"/>
      <c r="AP20" s="26" t="s">
        <v>188</v>
      </c>
      <c r="AQ20" s="26">
        <v>21262</v>
      </c>
      <c r="AR20" s="26"/>
      <c r="AS20" s="26" t="s">
        <v>200</v>
      </c>
      <c r="AT20" s="26"/>
      <c r="AU20" s="26">
        <v>0</v>
      </c>
      <c r="AV20" s="26"/>
      <c r="AW20" s="26"/>
      <c r="AX20" s="26"/>
      <c r="AY20" s="26"/>
      <c r="AZ20" s="26"/>
      <c r="BA20" s="26" t="s">
        <v>201</v>
      </c>
      <c r="BB20" s="26">
        <f>VLOOKUP(B168,nihool,2,FALSE)</f>
        <v>0</v>
      </c>
      <c r="BC20" s="26"/>
      <c r="BD20" s="26"/>
      <c r="BE20" s="26" t="e">
        <f>#REF!/12/#REF!+#REF!+F159-BJ102</f>
        <v>#REF!</v>
      </c>
      <c r="BF20" s="26" t="e">
        <f>#REF!/12+#REF!+F159-BJ102</f>
        <v>#REF!</v>
      </c>
      <c r="BG20" s="26" t="s">
        <v>202</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203</v>
      </c>
      <c r="BV20" s="26"/>
      <c r="BW20" s="26"/>
      <c r="BX20" s="26"/>
      <c r="BY20" s="26"/>
      <c r="BZ20" s="26" t="s">
        <v>204</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205</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4"/>
      <c r="E21" s="215"/>
      <c r="F21" s="26"/>
      <c r="G21" s="26"/>
      <c r="H21" s="26"/>
      <c r="I21" s="26"/>
      <c r="J21" s="26"/>
      <c r="K21" s="26" t="s">
        <v>209</v>
      </c>
      <c r="L21" s="26"/>
      <c r="M21" s="26"/>
      <c r="N21" s="26"/>
      <c r="O21" s="26">
        <f>N21*C9</f>
        <v>0</v>
      </c>
      <c r="P21" s="26" t="s">
        <v>208</v>
      </c>
      <c r="Q21" s="26" t="e">
        <f>BB19*Q20</f>
        <v>#REF!</v>
      </c>
      <c r="R21" s="26">
        <f>BB19*R20</f>
        <v>0</v>
      </c>
      <c r="S21" s="26" t="e">
        <f>#REF!</f>
        <v>#REF!</v>
      </c>
      <c r="T21" s="26" t="e">
        <f>U21*T20</f>
        <v>#REF!</v>
      </c>
      <c r="U21" s="26">
        <f>IF(BB19=0,0,IF((BB19+V21)&gt;36%,36%,BB19+V21))</f>
        <v>0</v>
      </c>
      <c r="V21" s="26" t="e">
        <f>(G179-T7)*2.4%</f>
        <v>#REF!</v>
      </c>
      <c r="W21" s="26"/>
      <c r="X21" s="26"/>
      <c r="Y21" s="26"/>
      <c r="Z21" s="26"/>
      <c r="AA21" s="26" t="s">
        <v>210</v>
      </c>
      <c r="AB21" s="26" t="s">
        <v>198</v>
      </c>
      <c r="AC21" s="26"/>
      <c r="AD21" s="26" t="s">
        <v>27</v>
      </c>
      <c r="AE21" s="26" t="s">
        <v>57</v>
      </c>
      <c r="AF21" s="26" t="s">
        <v>57</v>
      </c>
      <c r="AG21" s="26" t="s">
        <v>211</v>
      </c>
      <c r="AH21" s="26"/>
      <c r="AI21" s="26"/>
      <c r="AJ21" s="26"/>
      <c r="AK21" s="26"/>
      <c r="AL21" s="26" t="s">
        <v>212</v>
      </c>
      <c r="AM21" s="26">
        <v>39964</v>
      </c>
      <c r="AN21" s="26"/>
      <c r="AO21" s="26"/>
      <c r="AP21" s="26" t="s">
        <v>213</v>
      </c>
      <c r="AQ21" s="26" t="s">
        <v>214</v>
      </c>
      <c r="AR21" s="26"/>
      <c r="AS21" s="26">
        <v>11</v>
      </c>
      <c r="AT21" s="26"/>
      <c r="AU21" s="26">
        <v>0.5</v>
      </c>
      <c r="AV21" s="26"/>
      <c r="AW21" s="26"/>
      <c r="AX21" s="26" t="s">
        <v>57</v>
      </c>
      <c r="AY21" s="26">
        <v>17288</v>
      </c>
      <c r="AZ21" s="26">
        <v>17288</v>
      </c>
      <c r="BA21" s="26"/>
      <c r="BB21" s="26" t="s">
        <v>215</v>
      </c>
      <c r="BC21" s="26"/>
      <c r="BD21" s="26"/>
      <c r="BE21" s="26" t="s">
        <v>216</v>
      </c>
      <c r="BF21" s="26"/>
      <c r="BG21" s="26"/>
      <c r="BH21" s="26" t="s">
        <v>217</v>
      </c>
      <c r="BI21" s="26" t="s">
        <v>218</v>
      </c>
      <c r="BJ21" s="26" t="s">
        <v>171</v>
      </c>
      <c r="BK21" s="26" t="s">
        <v>219</v>
      </c>
      <c r="BL21" s="26" t="s">
        <v>220</v>
      </c>
      <c r="BM21" s="26" t="s">
        <v>221</v>
      </c>
      <c r="BN21" s="26" t="s">
        <v>222</v>
      </c>
      <c r="BO21" s="26"/>
      <c r="BP21" s="26" t="s">
        <v>223</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224</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225</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209</v>
      </c>
      <c r="L22" s="26"/>
      <c r="M22" s="26"/>
      <c r="N22" s="26"/>
      <c r="O22" s="26">
        <f>J23</f>
        <v>0</v>
      </c>
      <c r="P22" s="26" t="s">
        <v>226</v>
      </c>
      <c r="Q22" s="26" t="e">
        <f>AB16*Q10</f>
        <v>#REF!</v>
      </c>
      <c r="R22" s="26">
        <f>AB16*R10</f>
        <v>0</v>
      </c>
      <c r="S22" s="26" t="e">
        <f>#REF!</f>
        <v>#REF!</v>
      </c>
      <c r="T22" s="26" t="e">
        <f>U22*T10</f>
        <v>#REF!</v>
      </c>
      <c r="U22" s="26">
        <f>VLOOKUP(INT(V22),ghad1,2,FALSE)</f>
        <v>0</v>
      </c>
      <c r="V22" s="26">
        <f>IF(AB16=0,0,IF(60-T7+BG70&gt;13,13,60-T7+BG70))</f>
        <v>0</v>
      </c>
      <c r="W22" s="26" t="s">
        <v>227</v>
      </c>
      <c r="X22" s="26">
        <f>IF(C39=16%,IF(OR(C5=CB16,C5=CC16,C5=CD16),0.8,0.9),0.8)</f>
        <v>0.8</v>
      </c>
      <c r="Y22" s="26"/>
      <c r="Z22" s="26"/>
      <c r="AA22" s="26" t="s">
        <v>228</v>
      </c>
      <c r="AB22" s="26"/>
      <c r="AC22" s="26"/>
      <c r="AD22" s="26"/>
      <c r="AE22" s="26" t="s">
        <v>57</v>
      </c>
      <c r="AF22" s="26" t="s">
        <v>57</v>
      </c>
      <c r="AG22" s="26" t="s">
        <v>229</v>
      </c>
      <c r="AH22" s="26" t="s">
        <v>57</v>
      </c>
      <c r="AI22" s="26"/>
      <c r="AJ22" s="26" t="s">
        <v>230</v>
      </c>
      <c r="AK22" s="26"/>
      <c r="AL22" s="26" t="s">
        <v>231</v>
      </c>
      <c r="AM22" s="26">
        <v>39994</v>
      </c>
      <c r="AN22" s="26"/>
      <c r="AO22" s="26"/>
      <c r="AP22" s="26" t="s">
        <v>232</v>
      </c>
      <c r="AQ22" s="26">
        <v>28734</v>
      </c>
      <c r="AR22" s="26"/>
      <c r="AS22" s="26" t="s">
        <v>233</v>
      </c>
      <c r="AT22" s="26"/>
      <c r="AU22" s="26">
        <v>1</v>
      </c>
      <c r="AV22" s="26"/>
      <c r="AW22" s="26"/>
      <c r="AX22" s="26" t="s">
        <v>57</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234</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235</v>
      </c>
      <c r="DM22" s="26"/>
      <c r="DN22" s="26"/>
      <c r="DO22" s="26"/>
      <c r="DP22" s="26"/>
      <c r="DQ22" s="26"/>
      <c r="DR22" s="26"/>
      <c r="DS22" s="26"/>
      <c r="DT22" s="26"/>
    </row>
    <row r="23" spans="2:124" ht="15.75" customHeight="1" thickBot="1" x14ac:dyDescent="0.25">
      <c r="B23" s="26"/>
      <c r="D23" s="53" t="s">
        <v>106</v>
      </c>
      <c r="F23" s="26"/>
      <c r="G23" s="26"/>
      <c r="H23" s="26"/>
      <c r="I23" s="26"/>
      <c r="J23" s="26"/>
      <c r="K23" s="26" t="s">
        <v>209</v>
      </c>
      <c r="L23" s="26"/>
      <c r="M23" s="26"/>
      <c r="N23" s="26"/>
      <c r="O23" s="26">
        <v>0</v>
      </c>
      <c r="P23" s="26" t="s">
        <v>236</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237</v>
      </c>
      <c r="AA23" s="26"/>
      <c r="AB23" s="26">
        <v>0</v>
      </c>
      <c r="AC23" s="26"/>
      <c r="AD23" s="26"/>
      <c r="AE23" s="26" t="s">
        <v>57</v>
      </c>
      <c r="AF23" s="26" t="s">
        <v>238</v>
      </c>
      <c r="AG23" s="26" t="s">
        <v>239</v>
      </c>
      <c r="AH23" s="26"/>
      <c r="AI23" s="26"/>
      <c r="AJ23" s="26" t="s">
        <v>240</v>
      </c>
      <c r="AK23" s="26">
        <v>389</v>
      </c>
      <c r="AL23" s="26" t="s">
        <v>241</v>
      </c>
      <c r="AM23" s="26">
        <v>40025</v>
      </c>
      <c r="AN23" s="26"/>
      <c r="AO23" s="26"/>
      <c r="AP23" s="26">
        <v>16</v>
      </c>
      <c r="AQ23" s="26">
        <v>11</v>
      </c>
      <c r="AR23" s="26"/>
      <c r="AS23" s="26">
        <v>12</v>
      </c>
      <c r="AT23" s="26"/>
      <c r="AU23" s="26">
        <v>1.5</v>
      </c>
      <c r="AV23" s="26"/>
      <c r="AW23" s="26"/>
      <c r="AX23" s="26" t="s">
        <v>57</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242</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152</v>
      </c>
      <c r="DL23" s="26" t="s">
        <v>243</v>
      </c>
      <c r="DM23" s="26"/>
      <c r="DN23" s="26"/>
      <c r="DO23" s="26"/>
      <c r="DP23" s="26"/>
      <c r="DQ23" s="26"/>
      <c r="DR23" s="26"/>
      <c r="DS23" s="26"/>
      <c r="DT23" s="26"/>
    </row>
    <row r="24" spans="2:124" ht="15.75" customHeight="1" thickBot="1" x14ac:dyDescent="0.3">
      <c r="B24" s="26"/>
      <c r="C24" s="55" t="s">
        <v>244</v>
      </c>
      <c r="D24" s="55" t="s">
        <v>245</v>
      </c>
      <c r="E24" s="55" t="s">
        <v>246</v>
      </c>
      <c r="F24" s="56" t="s">
        <v>247</v>
      </c>
      <c r="G24" s="26"/>
      <c r="H24" s="26"/>
      <c r="I24" s="26"/>
      <c r="J24" s="26"/>
      <c r="K24" s="26" t="s">
        <v>209</v>
      </c>
      <c r="L24" s="26"/>
      <c r="M24" s="26"/>
      <c r="N24" s="26">
        <f>I25</f>
        <v>0</v>
      </c>
      <c r="O24" s="26">
        <f>J25</f>
        <v>0</v>
      </c>
      <c r="P24" s="26" t="s">
        <v>248</v>
      </c>
      <c r="Q24" s="26" t="e">
        <f>Q5*BG72</f>
        <v>#REF!</v>
      </c>
      <c r="R24" s="26">
        <f>Q25</f>
        <v>0</v>
      </c>
      <c r="S24" s="26" t="s">
        <v>249</v>
      </c>
      <c r="T24" s="26" t="e">
        <f>T5*BG72</f>
        <v>#REF!</v>
      </c>
      <c r="U24" s="26"/>
      <c r="V24" s="26"/>
      <c r="W24" s="26"/>
      <c r="X24" s="26" t="s">
        <v>250</v>
      </c>
      <c r="Y24" s="26"/>
      <c r="Z24" s="26"/>
      <c r="AA24" s="26"/>
      <c r="AB24" s="26"/>
      <c r="AC24" s="26"/>
      <c r="AD24" s="26"/>
      <c r="AE24" s="26" t="s">
        <v>57</v>
      </c>
      <c r="AF24" s="26"/>
      <c r="AG24" s="26" t="s">
        <v>57</v>
      </c>
      <c r="AH24" s="26"/>
      <c r="AI24" s="26"/>
      <c r="AJ24" s="26" t="s">
        <v>251</v>
      </c>
      <c r="AK24" s="26">
        <v>0.59709999999999996</v>
      </c>
      <c r="AL24" s="26" t="s">
        <v>252</v>
      </c>
      <c r="AM24" s="26">
        <v>40056</v>
      </c>
      <c r="AN24" s="26"/>
      <c r="AO24" s="26"/>
      <c r="AP24" s="26">
        <v>20</v>
      </c>
      <c r="AQ24" s="26">
        <v>12</v>
      </c>
      <c r="AR24" s="26"/>
      <c r="AS24" s="26" t="s">
        <v>253</v>
      </c>
      <c r="AT24" s="26" t="s">
        <v>254</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255</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256</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257</v>
      </c>
      <c r="DL24" s="26" t="s">
        <v>258</v>
      </c>
      <c r="DM24" s="26"/>
      <c r="DN24" s="26"/>
      <c r="DO24" s="26"/>
      <c r="DP24" s="26"/>
      <c r="DQ24" s="26"/>
      <c r="DR24" s="26"/>
      <c r="DS24" s="26"/>
      <c r="DT24" s="26"/>
    </row>
    <row r="25" spans="2:124" ht="15" customHeight="1" x14ac:dyDescent="0.2">
      <c r="B25" s="57" t="s">
        <v>259</v>
      </c>
      <c r="C25" s="57">
        <v>1</v>
      </c>
      <c r="D25" s="57">
        <v>0</v>
      </c>
      <c r="E25" s="57">
        <v>0</v>
      </c>
      <c r="F25" s="206">
        <f>SUM(C25:E25)</f>
        <v>1</v>
      </c>
      <c r="G25" s="26" t="s">
        <v>260</v>
      </c>
      <c r="H25" s="26"/>
      <c r="I25" s="26"/>
      <c r="J25" s="26"/>
      <c r="K25" s="26" t="s">
        <v>209</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261</v>
      </c>
      <c r="Y25" s="26"/>
      <c r="Z25" s="26"/>
      <c r="AA25" s="26"/>
      <c r="AB25" s="26"/>
      <c r="AC25" s="26">
        <v>40147</v>
      </c>
      <c r="AD25" s="26"/>
      <c r="AE25" s="26" t="s">
        <v>262</v>
      </c>
      <c r="AF25" s="26" t="e">
        <f>IF(BF50&lt;60,MIN(BA43:BA45),0)</f>
        <v>#REF!</v>
      </c>
      <c r="AG25" s="26"/>
      <c r="AH25" s="26"/>
      <c r="AI25" s="26"/>
      <c r="AJ25" s="26" t="s">
        <v>263</v>
      </c>
      <c r="AK25" s="26">
        <v>40574</v>
      </c>
      <c r="AL25" s="26" t="s">
        <v>149</v>
      </c>
      <c r="AM25" s="26">
        <v>40086</v>
      </c>
      <c r="AN25" s="26"/>
      <c r="AO25" s="26"/>
      <c r="AP25" s="26">
        <v>25</v>
      </c>
      <c r="AQ25" s="26">
        <v>13</v>
      </c>
      <c r="AR25" s="26"/>
      <c r="AS25" s="26">
        <v>13</v>
      </c>
      <c r="AT25" s="26">
        <v>34</v>
      </c>
      <c r="AU25" s="26">
        <v>2.5</v>
      </c>
      <c r="AV25" s="26"/>
      <c r="AW25" s="26"/>
      <c r="AX25" s="26"/>
      <c r="AY25" s="26">
        <v>18994</v>
      </c>
      <c r="AZ25" s="26">
        <v>18994</v>
      </c>
      <c r="BA25" s="26"/>
      <c r="BB25" s="26" t="s">
        <v>136</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264</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265</v>
      </c>
      <c r="DL25" s="26" t="s">
        <v>266</v>
      </c>
      <c r="DM25" s="26"/>
      <c r="DN25" s="26"/>
      <c r="DO25" s="26"/>
      <c r="DP25" s="26"/>
      <c r="DQ25" s="26"/>
      <c r="DR25" s="26"/>
      <c r="DS25" s="26"/>
      <c r="DT25" s="26"/>
    </row>
    <row r="26" spans="2:124" ht="18.75" customHeight="1" x14ac:dyDescent="0.2">
      <c r="B26" s="51" t="s">
        <v>267</v>
      </c>
      <c r="C26" s="54">
        <f>C25*1</f>
        <v>1</v>
      </c>
      <c r="D26" s="54">
        <f>D25*1.1</f>
        <v>0</v>
      </c>
      <c r="E26" s="54">
        <f>E25*2</f>
        <v>0</v>
      </c>
      <c r="F26" s="205">
        <f>SUM(C26:E26)</f>
        <v>1</v>
      </c>
      <c r="G26" s="26" t="s">
        <v>268</v>
      </c>
      <c r="H26" s="26"/>
      <c r="I26" s="26"/>
      <c r="J26" s="26"/>
      <c r="K26" s="26"/>
      <c r="L26" s="26"/>
      <c r="M26" s="26"/>
      <c r="N26" s="26"/>
      <c r="O26" s="26"/>
      <c r="P26" s="26"/>
      <c r="Q26" s="26" t="e">
        <f>SUM(Q10:Q25)</f>
        <v>#REF!</v>
      </c>
      <c r="R26" s="26">
        <f>SUM(R10:R24)*'[1]נתוני מס'!L22*(1+'[1]נתוני מס'!L23)</f>
        <v>366.65056266641858</v>
      </c>
      <c r="S26" s="26" t="s">
        <v>269</v>
      </c>
      <c r="T26" s="26" t="e">
        <f>SUM(T10:T25)</f>
        <v>#REF!</v>
      </c>
      <c r="U26" s="26"/>
      <c r="V26" s="26"/>
      <c r="W26" s="26"/>
      <c r="X26" s="26"/>
      <c r="Y26" s="26"/>
      <c r="Z26" s="26"/>
      <c r="AA26" s="26"/>
      <c r="AB26" s="26"/>
      <c r="AC26" s="26">
        <v>147.53</v>
      </c>
      <c r="AD26" s="26"/>
      <c r="AE26" s="26"/>
      <c r="AF26" s="26"/>
      <c r="AG26" s="26"/>
      <c r="AH26" s="26"/>
      <c r="AI26" s="26"/>
      <c r="AJ26" s="26" t="s">
        <v>214</v>
      </c>
      <c r="AK26" s="26"/>
      <c r="AL26" s="26" t="s">
        <v>270</v>
      </c>
      <c r="AM26" s="26">
        <v>40117</v>
      </c>
      <c r="AN26" s="26"/>
      <c r="AO26" s="26"/>
      <c r="AP26" s="26"/>
      <c r="AQ26" s="26"/>
      <c r="AR26" s="26"/>
      <c r="AS26" s="26" t="s">
        <v>271</v>
      </c>
      <c r="AT26" s="26" t="s">
        <v>272</v>
      </c>
      <c r="AU26" s="26">
        <v>3</v>
      </c>
      <c r="AV26" s="26"/>
      <c r="AW26" s="26"/>
      <c r="AX26" s="26"/>
      <c r="AY26" s="26">
        <v>19238</v>
      </c>
      <c r="AZ26" s="26">
        <v>19238</v>
      </c>
      <c r="BA26" s="26"/>
      <c r="BB26" s="26" t="s">
        <v>273</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222</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274</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266</v>
      </c>
      <c r="DM26" s="26"/>
      <c r="DN26" s="26"/>
      <c r="DO26" s="26"/>
      <c r="DP26" s="26"/>
      <c r="DQ26" s="26"/>
      <c r="DR26" s="26"/>
      <c r="DS26" s="26"/>
      <c r="DT26" s="26"/>
    </row>
    <row r="27" spans="2:124" ht="23.25" customHeight="1" thickBot="1" x14ac:dyDescent="0.25">
      <c r="C27" s="60"/>
      <c r="D27" s="60" t="s">
        <v>180</v>
      </c>
      <c r="E27" s="60"/>
      <c r="G27" s="26"/>
      <c r="H27" s="26"/>
      <c r="I27" s="26"/>
      <c r="J27" s="26"/>
      <c r="K27" s="26"/>
      <c r="L27" s="26"/>
      <c r="M27" s="26"/>
      <c r="N27" s="26"/>
      <c r="O27" s="26"/>
      <c r="P27" s="26"/>
      <c r="Q27" s="26"/>
      <c r="R27" s="26">
        <f>SUM(R10:R26)</f>
        <v>8167.7263640795791</v>
      </c>
      <c r="S27" s="26" t="s">
        <v>277</v>
      </c>
      <c r="T27" s="26" t="e">
        <f>(T26*V8+D234*H193)/T9</f>
        <v>#REF!</v>
      </c>
      <c r="U27" s="26" t="s">
        <v>57</v>
      </c>
      <c r="V27" s="26"/>
      <c r="W27" s="26"/>
      <c r="X27" s="26"/>
      <c r="Y27" s="26"/>
      <c r="Z27" s="26"/>
      <c r="AA27" s="26"/>
      <c r="AB27" s="26"/>
      <c r="AC27" s="26"/>
      <c r="AD27" s="26"/>
      <c r="AE27" s="26" t="s">
        <v>273</v>
      </c>
      <c r="AF27" s="26">
        <f>YEAR(AK25)-YEAR(J4)+BC26</f>
        <v>144</v>
      </c>
      <c r="AG27" s="26"/>
      <c r="AH27" s="26"/>
      <c r="AI27" s="26" t="s">
        <v>278</v>
      </c>
      <c r="AJ27" s="26" t="s">
        <v>279</v>
      </c>
      <c r="AK27" s="26" t="s">
        <v>280</v>
      </c>
      <c r="AL27" s="26" t="s">
        <v>281</v>
      </c>
      <c r="AM27" s="26">
        <v>40147</v>
      </c>
      <c r="AN27" s="26"/>
      <c r="AO27" s="26"/>
      <c r="AP27" s="26"/>
      <c r="AQ27" s="26" t="s">
        <v>57</v>
      </c>
      <c r="AR27" s="26">
        <f>VLOOKUP(AF27,__HAV2,2,TRUE)</f>
        <v>13</v>
      </c>
      <c r="AS27" s="26">
        <v>14</v>
      </c>
      <c r="AT27" s="26">
        <v>35</v>
      </c>
      <c r="AU27" s="26"/>
      <c r="AV27" s="26"/>
      <c r="AW27" s="26"/>
      <c r="AX27" s="26"/>
      <c r="AY27" s="26">
        <v>19480</v>
      </c>
      <c r="AZ27" s="26">
        <v>19480</v>
      </c>
      <c r="BA27" s="26" t="s">
        <v>282</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283</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284</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266</v>
      </c>
      <c r="DM27" s="26"/>
      <c r="DN27" s="26"/>
      <c r="DO27" s="26"/>
      <c r="DP27" s="26"/>
      <c r="DQ27" s="26"/>
      <c r="DR27" s="26"/>
      <c r="DS27" s="26"/>
      <c r="DT27" s="26"/>
    </row>
    <row r="28" spans="2:124" ht="15" customHeight="1" thickBot="1" x14ac:dyDescent="0.3">
      <c r="C28" s="55" t="s">
        <v>285</v>
      </c>
      <c r="D28" s="55" t="s">
        <v>286</v>
      </c>
      <c r="E28" s="55" t="s">
        <v>287</v>
      </c>
      <c r="F28" s="56" t="s">
        <v>247</v>
      </c>
      <c r="G28" s="26"/>
      <c r="H28" s="26"/>
      <c r="I28" s="26"/>
      <c r="J28" s="26"/>
      <c r="K28" s="26"/>
      <c r="L28" s="26"/>
      <c r="M28" s="26"/>
      <c r="N28" s="26"/>
      <c r="O28" s="26" t="s">
        <v>275</v>
      </c>
      <c r="P28" s="26">
        <f>I27+I21</f>
        <v>0</v>
      </c>
      <c r="Q28" s="26">
        <f>J27+J21</f>
        <v>0</v>
      </c>
      <c r="R28" s="26"/>
      <c r="S28" s="26"/>
      <c r="T28" s="26"/>
      <c r="U28" s="26"/>
      <c r="V28" s="26"/>
      <c r="W28" s="26"/>
      <c r="X28" s="26"/>
      <c r="Y28" s="26"/>
      <c r="Z28" s="26"/>
      <c r="AA28" s="26"/>
      <c r="AB28" s="26"/>
      <c r="AC28" s="26">
        <v>164.07</v>
      </c>
      <c r="AD28" s="26"/>
      <c r="AE28" s="26" t="s">
        <v>290</v>
      </c>
      <c r="AF28" s="26">
        <f>BC24</f>
        <v>33</v>
      </c>
      <c r="AG28" s="26"/>
      <c r="AH28" s="26" t="s">
        <v>189</v>
      </c>
      <c r="AI28" s="26">
        <f>IF(BC24&gt;AF29,AF29,BC24)</f>
        <v>33</v>
      </c>
      <c r="AJ28" s="26" t="e">
        <f>IF(AB21=#REF!,1.5*AK28,1*AK28)</f>
        <v>#REF!</v>
      </c>
      <c r="AK28" s="26">
        <f>IF(AB21=AJ20,1,IF(BC24&gt;30,0.75,1))</f>
        <v>1</v>
      </c>
      <c r="AL28" s="26" t="s">
        <v>291</v>
      </c>
      <c r="AM28" s="26">
        <v>40178</v>
      </c>
      <c r="AN28" s="26"/>
      <c r="AO28" s="26"/>
      <c r="AP28" s="26"/>
      <c r="AQ28" s="26"/>
      <c r="AR28" s="26"/>
      <c r="AS28" s="26" t="s">
        <v>292</v>
      </c>
      <c r="AT28" s="26" t="s">
        <v>293</v>
      </c>
      <c r="AU28" s="26"/>
      <c r="AV28" s="26"/>
      <c r="AW28" s="26"/>
      <c r="AX28" s="26"/>
      <c r="AY28" s="26"/>
      <c r="AZ28" s="26"/>
      <c r="BA28" s="26"/>
      <c r="BB28" s="26" t="s">
        <v>57</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294</v>
      </c>
      <c r="CR28" s="26"/>
      <c r="CS28" s="26"/>
      <c r="CT28" s="26"/>
      <c r="CU28" s="26"/>
      <c r="CV28" s="26">
        <v>17</v>
      </c>
      <c r="CW28" s="26">
        <v>59.6</v>
      </c>
      <c r="CX28" s="26"/>
      <c r="CY28" s="26"/>
      <c r="CZ28" s="26">
        <v>17</v>
      </c>
      <c r="DA28" s="26">
        <v>47</v>
      </c>
      <c r="DB28" s="26">
        <v>56.14</v>
      </c>
      <c r="DC28" s="26"/>
      <c r="DD28" s="26">
        <v>17</v>
      </c>
      <c r="DE28" s="26">
        <v>26.4</v>
      </c>
      <c r="DF28" s="26">
        <v>28.2</v>
      </c>
      <c r="DG28" s="26"/>
      <c r="DH28" s="26" t="s">
        <v>295</v>
      </c>
      <c r="DI28" s="26"/>
      <c r="DJ28" s="26"/>
      <c r="DK28" s="26" t="s">
        <v>296</v>
      </c>
      <c r="DL28" s="26" t="s">
        <v>266</v>
      </c>
      <c r="DM28" s="26"/>
      <c r="DN28" s="26"/>
      <c r="DO28" s="26"/>
      <c r="DP28" s="26"/>
      <c r="DQ28" s="26"/>
      <c r="DR28" s="26"/>
      <c r="DS28" s="26"/>
      <c r="DT28" s="26"/>
    </row>
    <row r="29" spans="2:124" ht="14.25" customHeight="1" x14ac:dyDescent="0.25">
      <c r="B29" s="35" t="s">
        <v>259</v>
      </c>
      <c r="C29" s="35">
        <v>15</v>
      </c>
      <c r="D29" s="35">
        <v>0</v>
      </c>
      <c r="E29" s="35">
        <v>0</v>
      </c>
      <c r="F29" s="60">
        <f>SUM(C29:E29)</f>
        <v>15</v>
      </c>
      <c r="G29" s="26"/>
      <c r="H29" s="26"/>
      <c r="I29" s="26"/>
      <c r="J29" s="26"/>
      <c r="K29" s="26"/>
      <c r="L29" s="26"/>
      <c r="M29" s="26"/>
      <c r="N29" s="26"/>
      <c r="O29" s="26" t="s">
        <v>288</v>
      </c>
      <c r="P29" s="26">
        <f>3.4%*P28</f>
        <v>0</v>
      </c>
      <c r="Q29" s="26" t="e">
        <f>(Q28*1.034*1.15-P33)/P33</f>
        <v>#N/A</v>
      </c>
      <c r="R29" s="26" t="s">
        <v>299</v>
      </c>
      <c r="S29" s="26">
        <f>C134</f>
        <v>35</v>
      </c>
      <c r="T29" s="26" t="e">
        <f>U32+W32</f>
        <v>#REF!</v>
      </c>
      <c r="U29" s="26" t="s">
        <v>31</v>
      </c>
      <c r="V29" s="26"/>
      <c r="W29" s="26"/>
      <c r="X29" s="26"/>
      <c r="Y29" s="26"/>
      <c r="Z29" s="26"/>
      <c r="AA29" s="26" t="s">
        <v>300</v>
      </c>
      <c r="AB29" s="26">
        <f>IF(BG71=AD20,12%,0)</f>
        <v>0</v>
      </c>
      <c r="AC29" s="26"/>
      <c r="AD29" s="26"/>
      <c r="AE29" s="26" t="s">
        <v>301</v>
      </c>
      <c r="AF29" s="26">
        <v>36</v>
      </c>
      <c r="AG29" s="26"/>
      <c r="AH29" s="26" t="s">
        <v>302</v>
      </c>
      <c r="AI29" s="26">
        <f>IF((AI28+AG38)&gt;AF29,AF29,AI28+AG38)</f>
        <v>36</v>
      </c>
      <c r="AJ29" s="26"/>
      <c r="AK29" s="26"/>
      <c r="AL29" s="26"/>
      <c r="AM29" s="26">
        <v>40209</v>
      </c>
      <c r="AN29" s="26"/>
      <c r="AO29" s="26"/>
      <c r="AP29" s="26"/>
      <c r="AQ29" s="26"/>
      <c r="AR29" s="26"/>
      <c r="AS29" s="26">
        <v>15</v>
      </c>
      <c r="AT29" s="26">
        <v>36</v>
      </c>
      <c r="AU29" s="26"/>
      <c r="AV29" s="26"/>
      <c r="AW29" s="26" t="s">
        <v>303</v>
      </c>
      <c r="AX29" s="26"/>
      <c r="AY29" s="26">
        <f>IF(MONTH(J4)=1,1,0)</f>
        <v>1</v>
      </c>
      <c r="AZ29" s="26"/>
      <c r="BA29" s="26" t="s">
        <v>304</v>
      </c>
      <c r="BB29" s="26" t="e">
        <f>(Q26-#REF!)*12</f>
        <v>#REF!</v>
      </c>
      <c r="BC29" s="26"/>
      <c r="BD29" s="26"/>
      <c r="BE29" s="26"/>
      <c r="BF29" s="26" t="s">
        <v>305</v>
      </c>
      <c r="BG29" s="26" t="s">
        <v>306</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307</v>
      </c>
      <c r="BQ29" s="26"/>
      <c r="BR29" s="26"/>
      <c r="BS29" s="26" t="e">
        <f>IF($BR$28=0%,BS27,IF(BS21&lt;$BP$20,BS27*$BI$99,BS27-($BP$28*BS28)))</f>
        <v>#REF!</v>
      </c>
      <c r="BT29" s="26"/>
      <c r="BU29" s="26" t="e">
        <f>IF($BR$28=0%,BU27,IF(BU21&lt;$BP$20,BU27*$BI$99,BU27-($BP$28*BU28)))</f>
        <v>#REF!</v>
      </c>
      <c r="BV29" s="26" t="s">
        <v>308</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266</v>
      </c>
      <c r="DM29" s="26"/>
      <c r="DN29" s="26"/>
      <c r="DO29" s="26"/>
      <c r="DP29" s="26"/>
      <c r="DQ29" s="26"/>
      <c r="DR29" s="26"/>
      <c r="DS29" s="26"/>
      <c r="DT29" s="26"/>
    </row>
    <row r="30" spans="2:124" ht="14.25" customHeight="1" x14ac:dyDescent="0.2">
      <c r="B30" s="51" t="s">
        <v>267</v>
      </c>
      <c r="C30" s="54">
        <f>C29*2.4</f>
        <v>36</v>
      </c>
      <c r="D30" s="54">
        <f>D29*2.2</f>
        <v>0</v>
      </c>
      <c r="E30" s="54">
        <f>E29*2</f>
        <v>0</v>
      </c>
      <c r="F30" s="185">
        <f>SUM(C30:E30)</f>
        <v>36</v>
      </c>
      <c r="G30" s="26"/>
      <c r="H30" s="26"/>
      <c r="I30" s="26"/>
      <c r="J30" s="26"/>
      <c r="K30" s="26"/>
      <c r="L30" s="26"/>
      <c r="M30" s="26"/>
      <c r="N30" s="26"/>
      <c r="O30" s="26" t="s">
        <v>297</v>
      </c>
      <c r="P30" s="26">
        <f>IF($C$21=$S$723,15%,15%*0.8)</f>
        <v>0.12</v>
      </c>
      <c r="Q30" s="26" t="e">
        <f>ROUND(Q29,2)</f>
        <v>#N/A</v>
      </c>
      <c r="R30" s="26" t="s">
        <v>311</v>
      </c>
      <c r="S30" s="26">
        <f>C135</f>
        <v>0</v>
      </c>
      <c r="T30" s="26" t="e">
        <f>U33+W33</f>
        <v>#REF!</v>
      </c>
      <c r="U30" s="26" t="s">
        <v>30</v>
      </c>
      <c r="V30" s="26"/>
      <c r="W30" s="26"/>
      <c r="X30" s="26"/>
      <c r="Y30" s="26"/>
      <c r="Z30" s="26"/>
      <c r="AA30" s="26"/>
      <c r="AB30" s="26"/>
      <c r="AC30" s="26"/>
      <c r="AD30" s="26"/>
      <c r="AE30" s="26"/>
      <c r="AF30" s="26"/>
      <c r="AG30" s="26" t="s">
        <v>312</v>
      </c>
      <c r="AH30" s="26"/>
      <c r="AI30" s="26"/>
      <c r="AJ30" s="26" t="e">
        <f>(100-AJ28)/100</f>
        <v>#REF!</v>
      </c>
      <c r="AK30" s="26"/>
      <c r="AL30" s="26"/>
      <c r="AM30" s="26">
        <v>40237</v>
      </c>
      <c r="AN30" s="26"/>
      <c r="AO30" s="26" t="s">
        <v>313</v>
      </c>
      <c r="AP30" s="26"/>
      <c r="AQ30" s="26"/>
      <c r="AR30" s="26"/>
      <c r="AS30" s="26" t="s">
        <v>314</v>
      </c>
      <c r="AT30" s="26" t="s">
        <v>315</v>
      </c>
      <c r="AU30" s="26"/>
      <c r="AV30" s="26"/>
      <c r="AW30" s="26"/>
      <c r="AX30" s="26"/>
      <c r="AY30" s="26" t="s">
        <v>57</v>
      </c>
      <c r="AZ30" s="26"/>
      <c r="BA30" s="26" t="s">
        <v>57</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316</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257</v>
      </c>
      <c r="DI30" s="26"/>
      <c r="DJ30" s="26"/>
      <c r="DK30" s="26"/>
      <c r="DL30" s="26" t="s">
        <v>266</v>
      </c>
      <c r="DM30" s="26"/>
      <c r="DN30" s="26"/>
      <c r="DO30" s="26"/>
      <c r="DP30" s="26"/>
      <c r="DQ30" s="26"/>
      <c r="DR30" s="26"/>
      <c r="DS30" s="26"/>
      <c r="DT30" s="26"/>
    </row>
    <row r="31" spans="2:124" ht="18.75" customHeight="1" x14ac:dyDescent="0.25">
      <c r="B31" s="60" t="s">
        <v>317</v>
      </c>
      <c r="E31" s="35">
        <v>0</v>
      </c>
      <c r="F31" s="61">
        <f>F30*0.05*E31</f>
        <v>0</v>
      </c>
      <c r="G31" s="26"/>
      <c r="H31" s="26"/>
      <c r="I31" s="26"/>
      <c r="J31" s="26"/>
      <c r="K31" s="26" t="s">
        <v>299</v>
      </c>
      <c r="L31" s="26"/>
      <c r="M31" s="26"/>
      <c r="N31" s="26"/>
      <c r="O31" s="26" t="s">
        <v>309</v>
      </c>
      <c r="P31" s="26">
        <f>(P28+P29)*(1+P30)</f>
        <v>0</v>
      </c>
      <c r="Q31" s="26"/>
      <c r="R31" s="26"/>
      <c r="S31" s="26"/>
      <c r="T31" s="26"/>
      <c r="U31" s="26"/>
      <c r="V31" s="26"/>
      <c r="W31" s="26"/>
      <c r="X31" s="26"/>
      <c r="Y31" s="26"/>
      <c r="Z31" s="26"/>
      <c r="AA31" s="26" t="s">
        <v>319</v>
      </c>
      <c r="AB31" s="26"/>
      <c r="AC31" s="26"/>
      <c r="AD31" s="26"/>
      <c r="AE31" s="26" t="s">
        <v>320</v>
      </c>
      <c r="AF31" s="26"/>
      <c r="AG31" s="26" t="s">
        <v>321</v>
      </c>
      <c r="AH31" s="26"/>
      <c r="AI31" s="26"/>
      <c r="AJ31" s="26"/>
      <c r="AK31" s="26"/>
      <c r="AL31" s="26"/>
      <c r="AM31" s="26">
        <v>40268</v>
      </c>
      <c r="AN31" s="26"/>
      <c r="AO31" s="26">
        <f>DATE(YEAR(J4),MONTH(J4)-MONTH(J4)+1,DAY(J4)-DAY(J4)+1)</f>
        <v>1</v>
      </c>
      <c r="AP31" s="26">
        <f>ROUND((AO31-AQ22)/365.25,2)</f>
        <v>-78.67</v>
      </c>
      <c r="AQ31" s="26"/>
      <c r="AR31" s="26"/>
      <c r="AS31" s="26">
        <v>16</v>
      </c>
      <c r="AT31" s="26">
        <v>37</v>
      </c>
      <c r="AU31" s="26" t="s">
        <v>57</v>
      </c>
      <c r="AV31" s="26"/>
      <c r="AW31" s="26"/>
      <c r="AX31" s="26"/>
      <c r="AY31" s="26"/>
      <c r="AZ31" s="26"/>
      <c r="BA31" s="26">
        <f>IF(24.75-BG61-BG62&lt;=0,0,IF((24.75-BG61-BG62)&gt;#REF!,#REF!*#REF!*0.6,(24.75-BG61-BG62)*#REF!*0.6))</f>
        <v>0</v>
      </c>
      <c r="BB31" s="26"/>
      <c r="BC31" s="26"/>
      <c r="BD31" s="26"/>
      <c r="BE31" s="26"/>
      <c r="BF31" s="26"/>
      <c r="BG31" s="26" t="s">
        <v>322</v>
      </c>
      <c r="BH31" s="26"/>
      <c r="BI31" s="26"/>
      <c r="BJ31" s="26">
        <f>IF(MONTH(AK25)&gt;9,0,MONTH(AK25)-1+DAY(AK25)/30)</f>
        <v>1.0333333333333334</v>
      </c>
      <c r="BK31" s="26"/>
      <c r="BL31" s="26" t="s">
        <v>323</v>
      </c>
      <c r="BM31" s="26" t="e">
        <f>IF(BM30=0,0,(BM30-(BG76*BM32)*12)-BP31)</f>
        <v>#REF!</v>
      </c>
      <c r="BN31" s="26" t="s">
        <v>324</v>
      </c>
      <c r="BO31" s="26" t="s">
        <v>325</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266</v>
      </c>
      <c r="DM31" s="26"/>
      <c r="DN31" s="26"/>
      <c r="DO31" s="26"/>
      <c r="DP31" s="26"/>
      <c r="DQ31" s="26"/>
      <c r="DR31" s="26"/>
      <c r="DS31" s="26"/>
      <c r="DT31" s="26"/>
    </row>
    <row r="32" spans="2:124" ht="17.25" customHeight="1" x14ac:dyDescent="0.25">
      <c r="B32" s="60" t="s">
        <v>326</v>
      </c>
      <c r="E32" s="35">
        <v>0</v>
      </c>
      <c r="F32" s="61">
        <f>F30*0.05*E32</f>
        <v>0</v>
      </c>
      <c r="G32" s="26"/>
      <c r="H32" s="26"/>
      <c r="I32" s="26"/>
      <c r="J32" s="26"/>
      <c r="K32" s="26" t="s">
        <v>328</v>
      </c>
      <c r="L32" s="26"/>
      <c r="M32" s="26"/>
      <c r="N32" s="26"/>
      <c r="O32" s="26" t="s">
        <v>60</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57</v>
      </c>
      <c r="AA32" s="26" t="s">
        <v>330</v>
      </c>
      <c r="AB32" s="26" t="s">
        <v>250</v>
      </c>
      <c r="AC32" s="26"/>
      <c r="AD32" s="26"/>
      <c r="AE32" s="26" t="e">
        <f>#REF!</f>
        <v>#REF!</v>
      </c>
      <c r="AF32" s="26"/>
      <c r="AG32" s="26">
        <f>BG76*'[1]נתוני מס'!I14</f>
        <v>574.75</v>
      </c>
      <c r="AH32" s="26"/>
      <c r="AI32" s="26"/>
      <c r="AJ32" s="26"/>
      <c r="AK32" s="26"/>
      <c r="AL32" s="26"/>
      <c r="AM32" s="26">
        <v>40298</v>
      </c>
      <c r="AN32" s="26"/>
      <c r="AO32" s="26"/>
      <c r="AP32" s="26"/>
      <c r="AQ32" s="26"/>
      <c r="AR32" s="26"/>
      <c r="AS32" s="26" t="s">
        <v>331</v>
      </c>
      <c r="AT32" s="26" t="s">
        <v>332</v>
      </c>
      <c r="AU32" s="26"/>
      <c r="AV32" s="26"/>
      <c r="AW32" s="26"/>
      <c r="AX32" s="26" t="s">
        <v>333</v>
      </c>
      <c r="AY32" s="26">
        <f>ROUND(H154,0)</f>
        <v>113</v>
      </c>
      <c r="AZ32" s="26"/>
      <c r="BA32" s="26" t="e">
        <f>IF(H159&lt;70%,IF(#REF!* 2% &gt;70%-H159,70%-H159,#REF!*2%),IF(H157+H158-H159&lt;=0,0,H157+H158-H159))</f>
        <v>#REF!</v>
      </c>
      <c r="BB32" s="26"/>
      <c r="BC32" s="26"/>
      <c r="BD32" s="26"/>
      <c r="BE32" s="26"/>
      <c r="BF32" s="26"/>
      <c r="BG32" s="26" t="s">
        <v>334</v>
      </c>
      <c r="BH32" s="26"/>
      <c r="BI32" s="26"/>
      <c r="BJ32" s="26">
        <f>MONTH(AK25)-1+DAY(AK25)/30</f>
        <v>1.0333333333333334</v>
      </c>
      <c r="BK32" s="26"/>
      <c r="BL32" s="26" t="s">
        <v>335</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266</v>
      </c>
      <c r="DM32" s="26"/>
      <c r="DN32" s="26"/>
      <c r="DO32" s="26"/>
      <c r="DP32" s="26"/>
      <c r="DQ32" s="26"/>
      <c r="DR32" s="26"/>
      <c r="DS32" s="26"/>
      <c r="DT32" s="26"/>
    </row>
    <row r="33" spans="2:124" ht="21" customHeight="1" x14ac:dyDescent="0.2">
      <c r="B33" s="60"/>
      <c r="C33" s="60"/>
      <c r="D33" s="210" t="s">
        <v>147</v>
      </c>
      <c r="E33" s="211"/>
      <c r="F33" s="59">
        <f>SUM(F30:F32)</f>
        <v>36</v>
      </c>
      <c r="G33" s="26"/>
      <c r="H33" s="26"/>
      <c r="I33" s="26"/>
      <c r="J33" s="26"/>
      <c r="K33" s="26"/>
      <c r="L33" s="26"/>
      <c r="M33" s="26"/>
      <c r="N33" s="26"/>
      <c r="O33" s="26" t="s">
        <v>327</v>
      </c>
      <c r="P33" s="26" t="e">
        <f>VLOOKUP(P32,טור12,2,1)</f>
        <v>#N/A</v>
      </c>
      <c r="Q33" s="26"/>
      <c r="R33" s="26"/>
      <c r="S33" s="26"/>
      <c r="T33" s="26" t="e">
        <f>IF(#REF!="כן",10%,0)</f>
        <v>#REF!</v>
      </c>
      <c r="U33" s="26">
        <f>(C135/24)</f>
        <v>0</v>
      </c>
      <c r="V33" s="26">
        <f>U33/(U32+U33)</f>
        <v>0</v>
      </c>
      <c r="W33" s="26" t="e">
        <f>T33*V33</f>
        <v>#REF!</v>
      </c>
      <c r="X33" s="26"/>
      <c r="Y33" s="26"/>
      <c r="Z33" s="26"/>
      <c r="AA33" s="26" t="s">
        <v>337</v>
      </c>
      <c r="AB33" s="26" t="s">
        <v>128</v>
      </c>
      <c r="AC33" s="26"/>
      <c r="AD33" s="26"/>
      <c r="AE33" s="26" t="s">
        <v>57</v>
      </c>
      <c r="AF33" s="26"/>
      <c r="AG33" s="26"/>
      <c r="AH33" s="26"/>
      <c r="AI33" s="26" t="s">
        <v>338</v>
      </c>
      <c r="AJ33" s="26" t="e">
        <f>Q26*0.36</f>
        <v>#REF!</v>
      </c>
      <c r="AK33" s="26"/>
      <c r="AL33" s="26"/>
      <c r="AM33" s="26">
        <v>40329</v>
      </c>
      <c r="AN33" s="26"/>
      <c r="AO33" s="26" t="s">
        <v>339</v>
      </c>
      <c r="AP33" s="26" t="s">
        <v>340</v>
      </c>
      <c r="AQ33" s="26"/>
      <c r="AR33" s="26"/>
      <c r="AS33" s="26">
        <v>17</v>
      </c>
      <c r="AT33" s="26">
        <v>38</v>
      </c>
      <c r="AU33" s="26"/>
      <c r="AV33" s="26"/>
      <c r="AW33" s="26"/>
      <c r="AX33" s="26" t="s">
        <v>341</v>
      </c>
      <c r="AY33" s="26" t="s">
        <v>57</v>
      </c>
      <c r="AZ33" s="26"/>
      <c r="BA33" s="26"/>
      <c r="BB33" s="26"/>
      <c r="BC33" s="26"/>
      <c r="BD33" s="26"/>
      <c r="BE33" s="26"/>
      <c r="BF33" s="26"/>
      <c r="BG33" s="26"/>
      <c r="BH33" s="26"/>
      <c r="BI33" s="26"/>
      <c r="BJ33" s="26"/>
      <c r="BK33" s="26"/>
      <c r="BL33" s="26" t="s">
        <v>342</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57</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343</v>
      </c>
      <c r="DM33" s="26"/>
      <c r="DN33" s="26"/>
      <c r="DO33" s="26"/>
      <c r="DP33" s="26"/>
      <c r="DQ33" s="26"/>
      <c r="DR33" s="26"/>
      <c r="DS33" s="26"/>
      <c r="DT33" s="26"/>
    </row>
    <row r="34" spans="2:124" ht="17.25" customHeight="1" x14ac:dyDescent="0.25">
      <c r="B34" s="52" t="s">
        <v>248</v>
      </c>
      <c r="C34" s="39">
        <v>0</v>
      </c>
      <c r="D34" s="26"/>
      <c r="E34" s="26"/>
      <c r="F34" s="26"/>
      <c r="G34" s="26"/>
      <c r="H34" s="26" t="s">
        <v>344</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346</v>
      </c>
      <c r="AT34" s="26" t="s">
        <v>347</v>
      </c>
      <c r="AU34" s="26"/>
      <c r="AV34" s="26"/>
      <c r="AW34" s="26"/>
      <c r="AX34" s="26" t="s">
        <v>348</v>
      </c>
      <c r="AY34" s="26">
        <f>(AY36*2)/100</f>
        <v>0.18833333333333332</v>
      </c>
      <c r="AZ34" s="26"/>
      <c r="BA34" s="26"/>
      <c r="BB34" s="26"/>
      <c r="BC34" s="26"/>
      <c r="BD34" s="26"/>
      <c r="BE34" s="26"/>
      <c r="BF34" s="26"/>
      <c r="BG34" s="26"/>
      <c r="BH34" s="26"/>
      <c r="BI34" s="26"/>
      <c r="BJ34" s="26"/>
      <c r="BK34" s="26" t="s">
        <v>57</v>
      </c>
      <c r="BL34" s="26" t="s">
        <v>349</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343</v>
      </c>
      <c r="DM34" s="26"/>
      <c r="DN34" s="26"/>
      <c r="DO34" s="26"/>
      <c r="DP34" s="26"/>
      <c r="DQ34" s="26"/>
      <c r="DR34" s="26"/>
      <c r="DS34" s="26"/>
      <c r="DT34" s="26"/>
    </row>
    <row r="35" spans="2:124" ht="12.75" customHeight="1" x14ac:dyDescent="0.2">
      <c r="B35" s="210"/>
      <c r="C35" s="211"/>
      <c r="D35" s="26"/>
      <c r="E35" s="26"/>
      <c r="F35" s="26"/>
      <c r="G35" s="26"/>
      <c r="H35" s="26">
        <f>IF(C14&gt;1%,"3%",0)</f>
        <v>0</v>
      </c>
      <c r="I35" s="26">
        <f>IF(C14&gt;1%,3,0)</f>
        <v>0</v>
      </c>
      <c r="J35" s="26" t="s">
        <v>350</v>
      </c>
      <c r="K35" s="26"/>
      <c r="L35" s="26"/>
      <c r="M35" s="26"/>
      <c r="N35" s="26"/>
      <c r="O35" s="26"/>
      <c r="P35" s="26"/>
      <c r="Q35" s="26"/>
      <c r="R35" s="26"/>
      <c r="S35" s="26"/>
      <c r="T35" s="26"/>
      <c r="U35" s="26"/>
      <c r="V35" s="26"/>
      <c r="W35" s="26"/>
      <c r="X35" s="26"/>
      <c r="Y35" s="26" t="s">
        <v>351</v>
      </c>
      <c r="Z35" s="26"/>
      <c r="AA35" s="26">
        <v>0</v>
      </c>
      <c r="AB35" s="26" t="s">
        <v>352</v>
      </c>
      <c r="AC35" s="26"/>
      <c r="AD35" s="26"/>
      <c r="AE35" s="26"/>
      <c r="AF35" s="26" t="s">
        <v>8</v>
      </c>
      <c r="AG35" s="26" t="s">
        <v>353</v>
      </c>
      <c r="AH35" s="26" t="s">
        <v>354</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343</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355</v>
      </c>
      <c r="Z36" s="26"/>
      <c r="AA36" s="26" t="s">
        <v>356</v>
      </c>
      <c r="AB36" s="26" t="s">
        <v>357</v>
      </c>
      <c r="AC36" s="26"/>
      <c r="AD36" s="26"/>
      <c r="AE36" s="26"/>
      <c r="AF36" s="26" t="s">
        <v>69</v>
      </c>
      <c r="AG36" s="26">
        <f>IF(BC24&lt;AF29,BC24-INT(BC24),0)</f>
        <v>0</v>
      </c>
      <c r="AH36" s="26" t="s">
        <v>358</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359</v>
      </c>
      <c r="AT36" s="26" t="s">
        <v>360</v>
      </c>
      <c r="AU36" s="26"/>
      <c r="AV36" s="26"/>
      <c r="AW36" s="26"/>
      <c r="AX36" s="26" t="s">
        <v>361</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343</v>
      </c>
      <c r="DM36" s="26"/>
      <c r="DN36" s="26"/>
      <c r="DO36" s="26"/>
      <c r="DP36" s="26"/>
      <c r="DQ36" s="26"/>
      <c r="DR36" s="26"/>
      <c r="DS36" s="26"/>
      <c r="DT36" s="26"/>
    </row>
    <row r="37" spans="2:124" ht="17.25" customHeight="1" x14ac:dyDescent="0.2">
      <c r="B37" s="26" t="s">
        <v>362</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302</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363</v>
      </c>
      <c r="BB37" s="26" t="s">
        <v>364</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343</v>
      </c>
      <c r="DM37" s="26"/>
      <c r="DN37" s="26"/>
      <c r="DO37" s="26"/>
      <c r="DP37" s="26"/>
      <c r="DQ37" s="26"/>
      <c r="DR37" s="26"/>
      <c r="DS37" s="26"/>
      <c r="DT37" s="26"/>
    </row>
    <row r="38" spans="2:124" ht="7.5" customHeight="1" x14ac:dyDescent="0.2">
      <c r="B38" s="26" t="s">
        <v>365</v>
      </c>
      <c r="C38" s="26" t="s">
        <v>29</v>
      </c>
      <c r="D38" s="26" t="s">
        <v>366</v>
      </c>
      <c r="E38" s="26"/>
      <c r="F38" s="26"/>
      <c r="G38" s="26"/>
      <c r="H38" s="26"/>
      <c r="I38" s="26"/>
      <c r="J38" s="26" t="s">
        <v>57</v>
      </c>
      <c r="K38" s="26" t="s">
        <v>367</v>
      </c>
      <c r="L38" s="26"/>
      <c r="M38" s="26"/>
      <c r="N38" s="26"/>
      <c r="O38" s="26"/>
      <c r="P38" s="26"/>
      <c r="Q38" s="26"/>
      <c r="R38" s="26"/>
      <c r="S38" s="26"/>
      <c r="T38" s="26"/>
      <c r="U38" s="26"/>
      <c r="V38" s="26"/>
      <c r="W38" s="26"/>
      <c r="X38" s="26"/>
      <c r="Y38" s="26"/>
      <c r="Z38" s="26"/>
      <c r="AA38" s="26"/>
      <c r="AB38" s="26"/>
      <c r="AC38" s="26"/>
      <c r="AD38" s="26"/>
      <c r="AE38" s="26" t="e">
        <f>35%*AE39</f>
        <v>#REF!</v>
      </c>
      <c r="AF38" s="26" t="s">
        <v>368</v>
      </c>
      <c r="AG38" s="26">
        <f>YEAR(AK25)-YEAR(J4)</f>
        <v>111</v>
      </c>
      <c r="AH38" s="26"/>
      <c r="AI38" s="26"/>
      <c r="AJ38" s="26"/>
      <c r="AK38" s="26"/>
      <c r="AL38" s="26"/>
      <c r="AM38" s="26">
        <v>40482</v>
      </c>
      <c r="AN38" s="26"/>
      <c r="AO38" s="26"/>
      <c r="AP38" s="26"/>
      <c r="AQ38" s="26"/>
      <c r="AR38" s="26"/>
      <c r="AS38" s="26" t="s">
        <v>369</v>
      </c>
      <c r="AT38" s="26" t="s">
        <v>370</v>
      </c>
      <c r="AU38" s="26"/>
      <c r="AV38" s="26"/>
      <c r="AW38" s="26"/>
      <c r="AX38" s="26"/>
      <c r="AY38" s="26" t="s">
        <v>371</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57</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343</v>
      </c>
      <c r="DM38" s="26"/>
      <c r="DN38" s="26"/>
      <c r="DO38" s="26"/>
      <c r="DP38" s="26"/>
      <c r="DQ38" s="26"/>
      <c r="DR38" s="26"/>
      <c r="DS38" s="26"/>
      <c r="DT38" s="26"/>
    </row>
    <row r="39" spans="2:124" ht="11.25" customHeight="1" x14ac:dyDescent="0.2">
      <c r="B39" s="26" t="s">
        <v>372</v>
      </c>
      <c r="C39" s="26">
        <f>IF($C$38="א-ו",J111,IF($C$38="ז-ח",J112,IF($C$38="חטיבת ביניים",J112-2.5%,#REF!)))</f>
        <v>0</v>
      </c>
      <c r="D39" s="26" t="s">
        <v>373</v>
      </c>
      <c r="E39" s="26"/>
      <c r="F39" s="26"/>
      <c r="G39" s="26"/>
      <c r="H39" s="26"/>
      <c r="I39" s="26">
        <v>3</v>
      </c>
      <c r="J39" s="26">
        <f>IF(C21=S723,1*L853,IF(C21=S724,0.75*L853,IF(C21=S725,0.6836*L853,0.5948*L853)))</f>
        <v>0.5948</v>
      </c>
      <c r="K39" s="26"/>
      <c r="L39" s="26" t="s">
        <v>289</v>
      </c>
      <c r="M39" s="26" t="s">
        <v>180</v>
      </c>
      <c r="N39" s="26"/>
      <c r="O39" s="26" t="e">
        <f>IF(#REF!="כן",10%,0)</f>
        <v>#REF!</v>
      </c>
      <c r="P39" s="26" t="e">
        <f>(#REF!/24)</f>
        <v>#REF!</v>
      </c>
      <c r="Q39" s="26" t="e">
        <f>P39/(P40+P39)</f>
        <v>#REF!</v>
      </c>
      <c r="R39" s="26" t="e">
        <f>O39*Q39</f>
        <v>#REF!</v>
      </c>
      <c r="S39" s="26"/>
      <c r="T39" s="26"/>
      <c r="U39" s="26"/>
      <c r="V39" s="26"/>
      <c r="W39" s="26"/>
      <c r="X39" s="26"/>
      <c r="Y39" s="26"/>
      <c r="Z39" s="26"/>
      <c r="AA39" s="26" t="s">
        <v>374</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375</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376</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343</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298</v>
      </c>
      <c r="M40" s="26" t="s">
        <v>286</v>
      </c>
      <c r="N40" s="26" t="s">
        <v>287</v>
      </c>
      <c r="O40" s="26"/>
      <c r="P40" s="26" t="e">
        <f>#REF!/30</f>
        <v>#REF!</v>
      </c>
      <c r="Q40" s="26" t="e">
        <f>P40/(P39+P40)</f>
        <v>#REF!</v>
      </c>
      <c r="R40" s="26" t="e">
        <f>Q40*O39</f>
        <v>#REF!</v>
      </c>
      <c r="S40" s="26"/>
      <c r="T40" s="26"/>
      <c r="U40" s="26"/>
      <c r="V40" s="26"/>
      <c r="W40" s="26"/>
      <c r="X40" s="26"/>
      <c r="Y40" s="26"/>
      <c r="Z40" s="26"/>
      <c r="AA40" s="26" t="s">
        <v>377</v>
      </c>
      <c r="AB40" s="26">
        <v>0</v>
      </c>
      <c r="AC40" s="26"/>
      <c r="AD40" s="26"/>
      <c r="AE40" s="26"/>
      <c r="AF40" s="26"/>
      <c r="AG40" s="26"/>
      <c r="AH40" s="26" t="s">
        <v>358</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378</v>
      </c>
      <c r="AT40" s="26" t="s">
        <v>379</v>
      </c>
      <c r="AU40" s="26"/>
      <c r="AV40" s="26"/>
      <c r="AW40" s="26"/>
      <c r="AX40" s="26"/>
      <c r="AY40" s="26"/>
      <c r="AZ40" s="26"/>
      <c r="BA40" s="26"/>
      <c r="BB40" s="26"/>
      <c r="BC40" s="26"/>
      <c r="BD40" s="26"/>
      <c r="BE40" s="26"/>
      <c r="BF40" s="26"/>
      <c r="BG40" s="26"/>
      <c r="BH40" s="26"/>
      <c r="BI40" s="26"/>
      <c r="BJ40" s="26" t="s">
        <v>57</v>
      </c>
      <c r="BK40" s="26" t="s">
        <v>380</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343</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57</v>
      </c>
      <c r="K41" s="26"/>
      <c r="L41" s="26" t="s">
        <v>310</v>
      </c>
      <c r="M41" s="26">
        <v>2</v>
      </c>
      <c r="N41" s="26">
        <v>3</v>
      </c>
      <c r="O41" s="26"/>
      <c r="P41" s="26"/>
      <c r="Q41" s="26"/>
      <c r="R41" s="26"/>
      <c r="S41" s="26"/>
      <c r="T41" s="26"/>
      <c r="U41" s="26"/>
      <c r="V41" s="26"/>
      <c r="W41" s="26"/>
      <c r="X41" s="26"/>
      <c r="Y41" s="26"/>
      <c r="Z41" s="26"/>
      <c r="AA41" s="26"/>
      <c r="AB41" s="26"/>
      <c r="AC41" s="26"/>
      <c r="AD41" s="26"/>
      <c r="AE41" s="26" t="s">
        <v>381</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382</v>
      </c>
      <c r="AZ41" s="26" t="s">
        <v>383</v>
      </c>
      <c r="BA41" s="26"/>
      <c r="BB41" s="26"/>
      <c r="BC41" s="26"/>
      <c r="BD41" s="26"/>
      <c r="BE41" s="26"/>
      <c r="BF41" s="26"/>
      <c r="BG41" s="26"/>
      <c r="BH41" s="26"/>
      <c r="BI41" s="26"/>
      <c r="BJ41" s="26"/>
      <c r="BK41" s="26" t="s">
        <v>384</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343</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57</v>
      </c>
      <c r="K42" s="26"/>
      <c r="L42" s="26" t="s">
        <v>318</v>
      </c>
      <c r="M42" s="26">
        <f>M41*2.2</f>
        <v>4.4000000000000004</v>
      </c>
      <c r="N42" s="26">
        <f>N41*2</f>
        <v>6</v>
      </c>
      <c r="O42" s="26"/>
      <c r="P42" s="26"/>
      <c r="Q42" s="26"/>
      <c r="R42" s="26"/>
      <c r="S42" s="26"/>
      <c r="T42" s="26"/>
      <c r="U42" s="26"/>
      <c r="V42" s="26"/>
      <c r="W42" s="26"/>
      <c r="X42" s="26"/>
      <c r="Y42" s="26"/>
      <c r="Z42" s="26"/>
      <c r="AA42" s="26" t="s">
        <v>255</v>
      </c>
      <c r="AB42" s="26">
        <f>BG61</f>
        <v>33</v>
      </c>
      <c r="AC42" s="26"/>
      <c r="AD42" s="26"/>
      <c r="AE42" s="26" t="s">
        <v>385</v>
      </c>
      <c r="AF42" s="26" t="e">
        <f>#REF!*AF41</f>
        <v>#REF!</v>
      </c>
      <c r="AG42" s="26"/>
      <c r="AH42" s="26"/>
      <c r="AI42" s="26"/>
      <c r="AJ42" s="26"/>
      <c r="AK42" s="26"/>
      <c r="AL42" s="26"/>
      <c r="AM42" s="26"/>
      <c r="AN42" s="26"/>
      <c r="AO42" s="26">
        <f>ROUND((AK25-AO41)/365.25,2)</f>
        <v>0.08</v>
      </c>
      <c r="AP42" s="26"/>
      <c r="AQ42" s="26"/>
      <c r="AR42" s="26"/>
      <c r="AS42" s="26" t="s">
        <v>386</v>
      </c>
      <c r="AT42" s="26" t="s">
        <v>387</v>
      </c>
      <c r="AU42" s="26"/>
      <c r="AV42" s="26"/>
      <c r="AW42" s="26"/>
      <c r="AX42" s="26" t="s">
        <v>388</v>
      </c>
      <c r="AY42" s="26"/>
      <c r="AZ42" s="26" t="e">
        <f>#REF!</f>
        <v>#REF!</v>
      </c>
      <c r="BA42" s="26" t="s">
        <v>389</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343</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57</v>
      </c>
      <c r="K43" s="26"/>
      <c r="L43" s="26" t="s">
        <v>329</v>
      </c>
      <c r="M43" s="26"/>
      <c r="N43" s="26"/>
      <c r="O43" s="26"/>
      <c r="P43" s="26" t="s">
        <v>57</v>
      </c>
      <c r="Q43" s="26"/>
      <c r="R43" s="26"/>
      <c r="S43" s="26"/>
      <c r="T43" s="26"/>
      <c r="U43" s="26"/>
      <c r="V43" s="26"/>
      <c r="W43" s="26"/>
      <c r="X43" s="26"/>
      <c r="Y43" s="26"/>
      <c r="Z43" s="26"/>
      <c r="AA43" s="26" t="s">
        <v>2</v>
      </c>
      <c r="AB43" s="26">
        <f>IF(W18&gt;36,36,W18)</f>
        <v>0</v>
      </c>
      <c r="AC43" s="26"/>
      <c r="AD43" s="26"/>
      <c r="AE43" s="26" t="s">
        <v>390</v>
      </c>
      <c r="AF43" s="26"/>
      <c r="AG43" s="26"/>
      <c r="AH43" s="26"/>
      <c r="AI43" s="26" t="s">
        <v>391</v>
      </c>
      <c r="AJ43" s="26" t="s">
        <v>392</v>
      </c>
      <c r="AK43" s="26"/>
      <c r="AL43" s="26"/>
      <c r="AM43" s="26"/>
      <c r="AN43" s="26"/>
      <c r="AO43" s="26"/>
      <c r="AP43" s="26"/>
      <c r="AQ43" s="26"/>
      <c r="AR43" s="26"/>
      <c r="AS43" s="26">
        <v>22</v>
      </c>
      <c r="AT43" s="26">
        <v>43</v>
      </c>
      <c r="AU43" s="26"/>
      <c r="AV43" s="26"/>
      <c r="AW43" s="26"/>
      <c r="AX43" s="26" t="s">
        <v>57</v>
      </c>
      <c r="AY43" s="26">
        <v>12</v>
      </c>
      <c r="AZ43" s="26" t="s">
        <v>393</v>
      </c>
      <c r="BA43" s="26" t="e">
        <f>12*AZ42</f>
        <v>#REF!</v>
      </c>
      <c r="BB43" s="26"/>
      <c r="BC43" s="26"/>
      <c r="BD43" s="26"/>
      <c r="BE43" s="26"/>
      <c r="BF43" s="26" t="s">
        <v>57</v>
      </c>
      <c r="BG43" s="26"/>
      <c r="BH43" s="26"/>
      <c r="BI43" s="26"/>
      <c r="BJ43" s="26" t="s">
        <v>394</v>
      </c>
      <c r="BK43" s="26"/>
      <c r="BL43" s="26"/>
      <c r="BM43" s="26"/>
      <c r="BN43" s="26"/>
      <c r="BO43" s="26"/>
      <c r="BP43" s="26"/>
      <c r="BQ43" s="26" t="s">
        <v>395</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396</v>
      </c>
      <c r="CW43" s="26">
        <v>63.5</v>
      </c>
      <c r="CX43" s="26"/>
      <c r="CY43" s="26"/>
      <c r="CZ43" s="26">
        <v>32</v>
      </c>
      <c r="DA43" s="26">
        <v>56.1</v>
      </c>
      <c r="DB43" s="26">
        <v>56.14</v>
      </c>
      <c r="DC43" s="26"/>
      <c r="DD43" s="26"/>
      <c r="DE43" s="26"/>
      <c r="DF43" s="26"/>
      <c r="DG43" s="26"/>
      <c r="DH43" s="26"/>
      <c r="DI43" s="26"/>
      <c r="DJ43" s="26"/>
      <c r="DK43" s="26"/>
      <c r="DL43" s="26" t="s">
        <v>397</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57</v>
      </c>
      <c r="K44" s="26"/>
      <c r="L44" s="26" t="s">
        <v>336</v>
      </c>
      <c r="M44" s="26"/>
      <c r="N44" s="26"/>
      <c r="O44" s="26" t="s">
        <v>276</v>
      </c>
      <c r="P44" s="26" t="e">
        <f t="shared" ref="P44:P61" si="3">HLOOKUP($C$5,$G$115:$L$132,ROW()-43,0)</f>
        <v>#N/A</v>
      </c>
      <c r="Q44" s="26"/>
      <c r="R44" s="26" t="s">
        <v>276</v>
      </c>
      <c r="S44" s="26"/>
      <c r="T44" s="26"/>
      <c r="U44" s="26"/>
      <c r="V44" s="26"/>
      <c r="W44" s="26"/>
      <c r="X44" s="26"/>
      <c r="Y44" s="26"/>
      <c r="Z44" s="26"/>
      <c r="AA44" s="26" t="s">
        <v>398</v>
      </c>
      <c r="AB44" s="26">
        <v>1</v>
      </c>
      <c r="AC44" s="26"/>
      <c r="AD44" s="26"/>
      <c r="AE44" s="26" t="e">
        <f>IF(#REF!&gt;0,#REF!/'[1]נתוני מס'!N16,0)</f>
        <v>#REF!</v>
      </c>
      <c r="AF44" s="26" t="s">
        <v>399</v>
      </c>
      <c r="AG44" s="26" t="s">
        <v>400</v>
      </c>
      <c r="AH44" s="26" t="s">
        <v>196</v>
      </c>
      <c r="AI44" s="26"/>
      <c r="AJ44" s="26">
        <f>C151</f>
        <v>174.47</v>
      </c>
      <c r="AK44" s="26"/>
      <c r="AL44" s="26"/>
      <c r="AM44" s="26"/>
      <c r="AN44" s="26"/>
      <c r="AO44" s="26"/>
      <c r="AP44" s="26"/>
      <c r="AQ44" s="26"/>
      <c r="AR44" s="26"/>
      <c r="AS44" s="26" t="s">
        <v>401</v>
      </c>
      <c r="AT44" s="26" t="s">
        <v>402</v>
      </c>
      <c r="AU44" s="26"/>
      <c r="AV44" s="26"/>
      <c r="AW44" s="26"/>
      <c r="AX44" s="26" t="s">
        <v>403</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404</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57</v>
      </c>
      <c r="K45" s="26"/>
      <c r="L45" s="26" t="s">
        <v>345</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405</v>
      </c>
      <c r="AG45" s="26" t="s">
        <v>406</v>
      </c>
      <c r="AH45" s="26" t="s">
        <v>69</v>
      </c>
      <c r="AI45" s="26"/>
      <c r="AJ45" s="26"/>
      <c r="AK45" s="26" t="s">
        <v>407</v>
      </c>
      <c r="AL45" s="26">
        <f>IF(AB17=AH44,0.01%,0)</f>
        <v>0</v>
      </c>
      <c r="AM45" s="26"/>
      <c r="AN45" s="26"/>
      <c r="AO45" s="26" t="s">
        <v>349</v>
      </c>
      <c r="AP45" s="26"/>
      <c r="AQ45" s="26"/>
      <c r="AR45" s="26"/>
      <c r="AS45" s="26">
        <v>23</v>
      </c>
      <c r="AT45" s="26">
        <v>44</v>
      </c>
      <c r="AU45" s="26"/>
      <c r="AV45" s="26"/>
      <c r="AW45" s="26"/>
      <c r="AX45" s="26"/>
      <c r="AY45" s="26"/>
      <c r="AZ45" s="26" t="s">
        <v>408</v>
      </c>
      <c r="BA45" s="26" t="e">
        <f>BF48</f>
        <v>#REF!</v>
      </c>
      <c r="BB45" s="26"/>
      <c r="BC45" s="26" t="s">
        <v>409</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326</v>
      </c>
      <c r="K46" s="26" t="e">
        <f>#REF!*0.05*L46</f>
        <v>#REF!</v>
      </c>
      <c r="L46" s="26">
        <v>0</v>
      </c>
      <c r="M46" s="26"/>
      <c r="N46" s="26"/>
      <c r="O46" s="26">
        <v>1.5</v>
      </c>
      <c r="P46" s="26" t="e">
        <f t="shared" si="3"/>
        <v>#N/A</v>
      </c>
      <c r="Q46" s="26"/>
      <c r="R46" s="26">
        <v>1.5</v>
      </c>
      <c r="S46" s="26">
        <v>1104.83</v>
      </c>
      <c r="T46" s="26"/>
      <c r="U46" s="26"/>
      <c r="V46" s="26"/>
      <c r="W46" s="26"/>
      <c r="X46" s="26"/>
      <c r="Y46" s="26"/>
      <c r="Z46" s="26"/>
      <c r="AA46" s="26" t="s">
        <v>410</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411</v>
      </c>
      <c r="AT46" s="26" t="s">
        <v>412</v>
      </c>
      <c r="AU46" s="26"/>
      <c r="AV46" s="26"/>
      <c r="AW46" s="26"/>
      <c r="AX46" s="26"/>
      <c r="AY46" s="26"/>
      <c r="AZ46" s="26"/>
      <c r="BA46" s="26"/>
      <c r="BB46" s="26"/>
      <c r="BC46" s="26" t="s">
        <v>413</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414</v>
      </c>
      <c r="M47" s="26" t="e">
        <f>VLOOKUP(I31,טור12,2,0)</f>
        <v>#N/A</v>
      </c>
      <c r="N47" s="26"/>
      <c r="O47" s="26">
        <v>2</v>
      </c>
      <c r="P47" s="26" t="e">
        <f t="shared" si="3"/>
        <v>#N/A</v>
      </c>
      <c r="Q47" s="26"/>
      <c r="R47" s="26">
        <v>2</v>
      </c>
      <c r="S47" s="26">
        <v>1036.1400000000001</v>
      </c>
      <c r="T47" s="26"/>
      <c r="U47" s="26"/>
      <c r="V47" s="26"/>
      <c r="W47" s="26"/>
      <c r="X47" s="26"/>
      <c r="Y47" s="26"/>
      <c r="Z47" s="26" t="s">
        <v>415</v>
      </c>
      <c r="AA47" s="26"/>
      <c r="AB47" s="26"/>
      <c r="AC47" s="26"/>
      <c r="AD47" s="26"/>
      <c r="AE47" s="26"/>
      <c r="AF47" s="26" t="s">
        <v>416</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384</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299</v>
      </c>
      <c r="M48" s="26">
        <f>IF(H42=0,0,H44-M47)</f>
        <v>0</v>
      </c>
      <c r="N48" s="26"/>
      <c r="O48" s="26">
        <v>2.5</v>
      </c>
      <c r="P48" s="26" t="e">
        <f t="shared" si="3"/>
        <v>#N/A</v>
      </c>
      <c r="Q48" s="26"/>
      <c r="R48" s="26">
        <v>2.5</v>
      </c>
      <c r="S48" s="26">
        <v>952.99</v>
      </c>
      <c r="T48" s="26"/>
      <c r="U48" s="26"/>
      <c r="V48" s="26"/>
      <c r="W48" s="26"/>
      <c r="X48" s="26"/>
      <c r="Y48" s="26"/>
      <c r="Z48" s="26"/>
      <c r="AA48" s="26" t="s">
        <v>417</v>
      </c>
      <c r="AB48" s="26" t="e">
        <f>#REF!+(#REF!+#REF!+#REF!)/12</f>
        <v>#REF!</v>
      </c>
      <c r="AC48" s="26"/>
      <c r="AD48" s="26"/>
      <c r="AE48" s="26"/>
      <c r="AF48" s="26"/>
      <c r="AG48" s="26" t="s">
        <v>57</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418</v>
      </c>
      <c r="M49" s="26" t="e">
        <f>M47+M48</f>
        <v>#N/A</v>
      </c>
      <c r="N49" s="26"/>
      <c r="O49" s="26">
        <v>3</v>
      </c>
      <c r="P49" s="26" t="e">
        <f t="shared" si="3"/>
        <v>#N/A</v>
      </c>
      <c r="Q49" s="26"/>
      <c r="R49" s="26">
        <v>3</v>
      </c>
      <c r="S49" s="26">
        <v>869.86</v>
      </c>
      <c r="T49" s="26"/>
      <c r="U49" s="26"/>
      <c r="V49" s="26" t="s">
        <v>57</v>
      </c>
      <c r="W49" s="26"/>
      <c r="X49" s="26"/>
      <c r="Y49" s="26"/>
      <c r="Z49" s="26" t="e">
        <f>(1-#REF!/#REF!)*#REF!</f>
        <v>#REF!</v>
      </c>
      <c r="AA49" s="26" t="s">
        <v>419</v>
      </c>
      <c r="AB49" s="26" t="e">
        <f>#REF!+(#REF!+#REF!)/12</f>
        <v>#REF!</v>
      </c>
      <c r="AC49" s="26"/>
      <c r="AD49" s="26"/>
      <c r="AE49" s="26"/>
      <c r="AF49" s="26"/>
      <c r="AG49" s="26" t="s">
        <v>57</v>
      </c>
      <c r="AH49" s="26"/>
      <c r="AI49" s="26"/>
      <c r="AJ49" s="26"/>
      <c r="AK49" s="26"/>
      <c r="AL49" s="26"/>
      <c r="AM49" s="26"/>
      <c r="AN49" s="26"/>
      <c r="AO49" s="26"/>
      <c r="AP49" s="26"/>
      <c r="AQ49" s="26"/>
      <c r="AR49" s="26"/>
      <c r="AS49" s="26" t="s">
        <v>420</v>
      </c>
      <c r="AT49" s="26" t="s">
        <v>421</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422</v>
      </c>
      <c r="AB50" s="26" t="e">
        <f>#REF!</f>
        <v>#REF!</v>
      </c>
      <c r="AC50" s="26"/>
      <c r="AD50" s="26"/>
      <c r="AE50" s="26"/>
      <c r="AF50" s="26"/>
      <c r="AG50" s="26" t="s">
        <v>57</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57</v>
      </c>
      <c r="AB51" s="26"/>
      <c r="AC51" s="26"/>
      <c r="AD51" s="26"/>
      <c r="AE51" s="26"/>
      <c r="AF51" s="26"/>
      <c r="AG51" s="26" t="s">
        <v>57</v>
      </c>
      <c r="AH51" s="26"/>
      <c r="AI51" s="26"/>
      <c r="AJ51" s="26"/>
      <c r="AK51" s="26"/>
      <c r="AL51" s="26"/>
      <c r="AM51" s="26"/>
      <c r="AN51" s="26"/>
      <c r="AO51" s="26"/>
      <c r="AP51" s="26"/>
      <c r="AQ51" s="26"/>
      <c r="AR51" s="26"/>
      <c r="AS51" s="26" t="s">
        <v>423</v>
      </c>
      <c r="AT51" s="26" t="s">
        <v>424</v>
      </c>
      <c r="AU51" s="26"/>
      <c r="AV51" s="26"/>
      <c r="AW51" s="26"/>
      <c r="AX51" s="26"/>
      <c r="AY51" s="26"/>
      <c r="AZ51" s="26"/>
      <c r="BA51" s="26"/>
      <c r="BB51" s="26"/>
      <c r="BC51" s="26"/>
      <c r="BD51" s="26"/>
      <c r="BE51" s="26" t="s">
        <v>425</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426</v>
      </c>
      <c r="L53" s="26" t="s">
        <v>427</v>
      </c>
      <c r="M53" s="26"/>
      <c r="N53" s="26"/>
      <c r="O53" s="26">
        <v>5</v>
      </c>
      <c r="P53" s="26" t="e">
        <f t="shared" si="3"/>
        <v>#N/A</v>
      </c>
      <c r="Q53" s="26"/>
      <c r="R53" s="26">
        <v>5</v>
      </c>
      <c r="S53" s="26">
        <v>593.47</v>
      </c>
      <c r="T53" s="26"/>
      <c r="U53" s="26"/>
      <c r="V53" s="26"/>
      <c r="W53" s="26"/>
      <c r="X53" s="26"/>
      <c r="Y53" s="26"/>
      <c r="Z53" s="26"/>
      <c r="AA53" s="26" t="s">
        <v>428</v>
      </c>
      <c r="AB53" s="26"/>
      <c r="AC53" s="26" t="s">
        <v>422</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429</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430</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431</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57</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432</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273</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267</v>
      </c>
      <c r="K65" s="26" t="s">
        <v>433</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434</v>
      </c>
      <c r="BG65" s="26" t="s">
        <v>82</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377</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435</v>
      </c>
      <c r="BG67" s="26" t="s">
        <v>113</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436</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405</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437</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438</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439</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440</v>
      </c>
      <c r="S71" s="26" t="s">
        <v>441</v>
      </c>
      <c r="T71" s="26" t="s">
        <v>9</v>
      </c>
      <c r="U71" s="26" t="s">
        <v>442</v>
      </c>
      <c r="V71" s="26" t="s">
        <v>443</v>
      </c>
      <c r="W71" s="26" t="s">
        <v>444</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445</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249</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374</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446</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447</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449</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451</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276</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57</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57</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452</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57</v>
      </c>
      <c r="AL90" s="26"/>
      <c r="AM90" s="26"/>
      <c r="AN90" s="26"/>
      <c r="AO90" s="26"/>
      <c r="AP90" s="26"/>
      <c r="AQ90" s="26"/>
      <c r="AR90" s="26"/>
      <c r="AS90" s="26"/>
      <c r="AT90" s="26"/>
      <c r="AU90" s="26"/>
      <c r="AV90" s="26"/>
      <c r="AW90" s="26"/>
      <c r="AX90" s="26"/>
      <c r="AY90" s="26" t="s">
        <v>453</v>
      </c>
      <c r="AZ90" s="26"/>
      <c r="BA90" s="26"/>
      <c r="BB90" s="26" t="e">
        <f>IF(BC90&gt;'[1]נתוני מס'!L28*'[1]נתוני מס'!M28,'[1]נתוני מס'!L28*'[1]נתוני מס'!M28,BC90)</f>
        <v>#REF!</v>
      </c>
      <c r="BC90" s="26" t="e">
        <f>((BG77-(Q26*AJ30*12+AJ33+#REF!+#REF!))*'[1]נתוני מס'!L28)/12</f>
        <v>#REF!</v>
      </c>
      <c r="BD90" s="26"/>
      <c r="BE90" s="26"/>
      <c r="BF90" s="26"/>
      <c r="BG90" s="26"/>
      <c r="BH90" s="26" t="s">
        <v>454</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455</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57</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456</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457</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458</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57</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459</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460</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461</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57</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462</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283</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57</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57</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463</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202</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57</v>
      </c>
      <c r="AB103" s="26" t="s">
        <v>57</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464</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465</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466</v>
      </c>
      <c r="R107" s="26" t="s">
        <v>467</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468</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469</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470</v>
      </c>
      <c r="R110" s="26" t="e">
        <f>#REF!</f>
        <v>#REF!</v>
      </c>
      <c r="S110" s="26" t="e">
        <f>#REF!</f>
        <v>#REF!</v>
      </c>
      <c r="T110" s="26"/>
      <c r="U110" s="26"/>
      <c r="V110" s="26" t="s">
        <v>448</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471</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472</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473</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474</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475</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476</v>
      </c>
      <c r="C139" s="26"/>
      <c r="D139" s="26"/>
      <c r="E139" s="26"/>
      <c r="F139" s="26"/>
      <c r="G139" s="26"/>
      <c r="H139" s="26" t="s">
        <v>477</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478</v>
      </c>
      <c r="C140" s="26" t="s">
        <v>479</v>
      </c>
      <c r="D140" s="26" t="s">
        <v>480</v>
      </c>
      <c r="E140" s="26" t="s">
        <v>481</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482</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483</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484</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485</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486</v>
      </c>
      <c r="C145" s="26">
        <v>0.16</v>
      </c>
      <c r="D145" s="26"/>
      <c r="E145" s="26" t="s">
        <v>487</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488</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489</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490</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436</v>
      </c>
      <c r="H149" s="26" t="s">
        <v>491</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69</v>
      </c>
      <c r="C150" s="26">
        <v>156.88</v>
      </c>
      <c r="D150" s="26" t="s">
        <v>72</v>
      </c>
      <c r="E150" s="26"/>
      <c r="F150" s="26"/>
      <c r="G150" s="26" t="s">
        <v>437</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450</v>
      </c>
      <c r="C151" s="26">
        <v>174.47</v>
      </c>
      <c r="D151" s="26" t="s">
        <v>208</v>
      </c>
      <c r="E151" s="26" t="e">
        <f>(VLOOKUP($I$32,O45:P61,2,0))</f>
        <v>#N/A</v>
      </c>
      <c r="F151" s="26"/>
      <c r="G151" s="26" t="s">
        <v>492</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248</v>
      </c>
      <c r="E152" s="26">
        <v>1</v>
      </c>
      <c r="F152" s="26"/>
      <c r="G152" s="26"/>
      <c r="H152" s="26" t="s">
        <v>493</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276</v>
      </c>
      <c r="H153" s="26">
        <f>AA35/12</f>
        <v>0</v>
      </c>
      <c r="I153" s="26" t="s">
        <v>494</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495</v>
      </c>
      <c r="C154" s="26"/>
      <c r="D154" s="26">
        <v>5571</v>
      </c>
      <c r="E154" s="26"/>
      <c r="F154" s="26">
        <v>0</v>
      </c>
      <c r="G154" s="26">
        <v>1</v>
      </c>
      <c r="H154" s="26">
        <f>IF(ABS(BG61-AP31+AY29)&lt;0.26,0,BG61-AP31+AY29)</f>
        <v>112.67</v>
      </c>
      <c r="I154" s="26" t="s">
        <v>57</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496</v>
      </c>
      <c r="C155" s="26" t="s">
        <v>69</v>
      </c>
      <c r="D155" s="26" t="e">
        <f>(VLOOKUP($I$32,R45:S61,2,0))</f>
        <v>#N/A</v>
      </c>
      <c r="E155" s="26"/>
      <c r="F155" s="26">
        <v>0</v>
      </c>
      <c r="G155" s="26">
        <v>1.5</v>
      </c>
      <c r="H155" s="26">
        <f>(ROUND((ROUND((AK25-AQ22)/365.25,4))*12,2)/12)</f>
        <v>32.415833333333332</v>
      </c>
      <c r="I155" s="26" t="s">
        <v>57</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57</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57</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497</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498</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499</v>
      </c>
      <c r="D162" s="26">
        <v>5</v>
      </c>
      <c r="E162" s="26"/>
      <c r="F162" s="26"/>
      <c r="G162" s="26">
        <v>5</v>
      </c>
      <c r="H162" s="26" t="s">
        <v>500</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501</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502</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503</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504</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505</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506</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69</v>
      </c>
      <c r="C169" s="26" t="s">
        <v>507</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508</v>
      </c>
      <c r="D170" s="26"/>
      <c r="E170" s="26"/>
      <c r="F170" s="26"/>
      <c r="G170" s="26">
        <v>9</v>
      </c>
      <c r="H170" s="26" t="s">
        <v>57</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509</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510</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57</v>
      </c>
      <c r="C173" s="26"/>
      <c r="D173" s="26"/>
      <c r="E173" s="26"/>
      <c r="F173" s="26" t="s">
        <v>196</v>
      </c>
      <c r="G173" s="26"/>
      <c r="H173" s="26" t="s">
        <v>511</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512</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513</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514</v>
      </c>
      <c r="D177" s="26" t="s">
        <v>57</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515</v>
      </c>
      <c r="D178" s="26" t="s">
        <v>516</v>
      </c>
      <c r="E178" s="26"/>
      <c r="F178" s="26" t="s">
        <v>517</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475</v>
      </c>
      <c r="D179" s="26" t="s">
        <v>518</v>
      </c>
      <c r="E179" s="26"/>
      <c r="F179" s="26" t="s">
        <v>519</v>
      </c>
      <c r="G179" s="26" t="e">
        <f>#REF!</f>
        <v>#REF!</v>
      </c>
      <c r="H179" s="26"/>
      <c r="I179" s="26" t="s">
        <v>57</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520</v>
      </c>
      <c r="D180" s="26" t="s">
        <v>474</v>
      </c>
      <c r="E180" s="26"/>
      <c r="F180" s="26" t="s">
        <v>521</v>
      </c>
      <c r="G180" s="26">
        <f>G202</f>
        <v>52.87</v>
      </c>
      <c r="H180" s="26"/>
      <c r="I180" s="26" t="s">
        <v>57</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522</v>
      </c>
      <c r="D181" s="26" t="s">
        <v>523</v>
      </c>
      <c r="E181" s="26"/>
      <c r="F181" s="26"/>
      <c r="G181" s="26" t="s">
        <v>524</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525</v>
      </c>
      <c r="D182" s="26" t="s">
        <v>526</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527</v>
      </c>
      <c r="D183" s="26" t="s">
        <v>477</v>
      </c>
      <c r="E183" s="26"/>
      <c r="F183" s="26" t="e">
        <f>#REF!/#REF!*F187</f>
        <v>#REF!</v>
      </c>
      <c r="G183" s="26" t="s">
        <v>528</v>
      </c>
      <c r="H183" s="26"/>
      <c r="I183" s="26"/>
      <c r="J183" s="26" t="s">
        <v>57</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529</v>
      </c>
      <c r="D184" s="26"/>
      <c r="E184" s="26"/>
      <c r="F184" s="26" t="e">
        <f>#REF!/#REF!*F187</f>
        <v>#REF!</v>
      </c>
      <c r="G184" s="26" t="s">
        <v>530</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531</v>
      </c>
      <c r="E185" s="26"/>
      <c r="F185" s="26" t="e">
        <f>#REF!/#REF!*F187</f>
        <v>#REF!</v>
      </c>
      <c r="G185" s="26" t="s">
        <v>532</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533</v>
      </c>
      <c r="C186" s="26" t="str">
        <f>C5</f>
        <v>ב"א</v>
      </c>
      <c r="D186" s="26"/>
      <c r="E186" s="26"/>
      <c r="F186" s="26" t="e">
        <f>#REF!/#REF!*F187</f>
        <v>#REF!</v>
      </c>
      <c r="G186" s="26" t="s">
        <v>534</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535</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536</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537</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538</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539</v>
      </c>
      <c r="C193" s="26" t="s">
        <v>540</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541</v>
      </c>
      <c r="D194" s="26" t="s">
        <v>57</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542</v>
      </c>
      <c r="D195" s="26" t="s">
        <v>57</v>
      </c>
      <c r="E195" s="26"/>
      <c r="F195" s="26"/>
      <c r="G195" s="26" t="s">
        <v>543</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544</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545</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546</v>
      </c>
      <c r="D198" s="26" t="e">
        <f>IF(#REF!=0,#REF!,TRUNC(#REF!,2)&amp; "  :מספר משכורות")</f>
        <v>#REF!</v>
      </c>
      <c r="E198" s="26"/>
      <c r="F198" s="26" t="s">
        <v>57</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547</v>
      </c>
      <c r="D199" s="26" t="s">
        <v>548</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549</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550</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551</v>
      </c>
      <c r="D203" s="26"/>
      <c r="E203" s="26"/>
      <c r="F203" s="26" t="s">
        <v>552</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553</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554</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555</v>
      </c>
      <c r="C206" s="26"/>
      <c r="D206" s="26"/>
      <c r="E206" s="26"/>
      <c r="F206" s="26">
        <v>0</v>
      </c>
      <c r="G206" s="26"/>
      <c r="H206" s="26"/>
      <c r="I206" s="26" t="s">
        <v>60</v>
      </c>
      <c r="J206" s="26" t="s">
        <v>556</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557</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57</v>
      </c>
      <c r="C208" s="26" t="s">
        <v>558</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57</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543</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57</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559</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560</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57</v>
      </c>
      <c r="C234" s="26" t="s">
        <v>561</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53</v>
      </c>
      <c r="S704" s="26">
        <f>IF(BB770-INT(BB770)=0.5,1,0)</f>
        <v>0</v>
      </c>
      <c r="T704" s="26">
        <f>IF(S704=0,0,IF(BB770&lt;=7,3.75,4.25))</f>
        <v>0</v>
      </c>
      <c r="U704" s="26"/>
      <c r="V704" s="26" t="s">
        <v>54</v>
      </c>
      <c r="W704" s="26"/>
      <c r="X704" s="26"/>
      <c r="Y704" s="26"/>
      <c r="Z704" s="26"/>
      <c r="AA704" s="26"/>
      <c r="AB704" s="26"/>
      <c r="AC704" s="26"/>
      <c r="AD704" s="26"/>
      <c r="AE704" s="26"/>
      <c r="AF704" s="26"/>
      <c r="AG704" s="26"/>
      <c r="AH704" s="26"/>
      <c r="AI704" s="26" t="s">
        <v>55</v>
      </c>
      <c r="AJ704" s="26"/>
      <c r="AK704" s="26"/>
      <c r="AL704" s="26"/>
      <c r="AM704" s="26"/>
      <c r="AN704" s="26"/>
      <c r="AO704" s="26"/>
      <c r="AP704" s="26"/>
      <c r="AQ704" s="26"/>
      <c r="AR704" s="26"/>
      <c r="AS704" s="26"/>
      <c r="AT704" s="26"/>
      <c r="AU704" s="26"/>
      <c r="AV704" s="26" t="s">
        <v>56</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61</v>
      </c>
      <c r="P705" s="26" t="s">
        <v>27</v>
      </c>
      <c r="Q705" s="26"/>
      <c r="R705" s="26" t="s">
        <v>62</v>
      </c>
      <c r="S705" s="26">
        <v>0.03</v>
      </c>
      <c r="T705" s="26">
        <f>1+(T704/100)</f>
        <v>1</v>
      </c>
      <c r="U705" s="26"/>
      <c r="V705" s="26">
        <v>0</v>
      </c>
      <c r="W705" s="26">
        <v>0</v>
      </c>
      <c r="X705" s="26"/>
      <c r="Y705" s="26" t="s">
        <v>63</v>
      </c>
      <c r="Z705" s="26"/>
      <c r="AA705" s="26"/>
      <c r="AB705" s="26"/>
      <c r="AC705" s="26"/>
      <c r="AD705" s="26"/>
      <c r="AE705" s="26"/>
      <c r="AF705" s="26"/>
      <c r="AG705" s="26"/>
      <c r="AH705" s="26"/>
      <c r="AI705" s="26" t="s">
        <v>64</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68</v>
      </c>
      <c r="P706" s="26" t="s">
        <v>69</v>
      </c>
      <c r="Q706" s="26"/>
      <c r="R706" s="26" t="s">
        <v>70</v>
      </c>
      <c r="S706" s="26">
        <v>4.8099999999999997E-2</v>
      </c>
      <c r="T706" s="26"/>
      <c r="U706" s="26"/>
      <c r="V706" s="26">
        <v>1</v>
      </c>
      <c r="W706" s="26">
        <v>0.47499999999999998</v>
      </c>
      <c r="X706" s="26" t="s">
        <v>57</v>
      </c>
      <c r="Y706" s="26">
        <v>0.09</v>
      </c>
      <c r="Z706" s="26" t="s">
        <v>71</v>
      </c>
      <c r="AA706" s="26"/>
      <c r="AB706" s="26"/>
      <c r="AC706" s="26"/>
      <c r="AD706" s="26"/>
      <c r="AE706" s="26" t="s">
        <v>495</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73</v>
      </c>
      <c r="P707" s="26" t="s">
        <v>74</v>
      </c>
      <c r="Q707" s="26"/>
      <c r="R707" s="26"/>
      <c r="S707" s="26"/>
      <c r="T707" s="26"/>
      <c r="U707" s="26"/>
      <c r="V707" s="26">
        <v>2</v>
      </c>
      <c r="W707" s="26">
        <v>0.495</v>
      </c>
      <c r="X707" s="26" t="s">
        <v>57</v>
      </c>
      <c r="Y707" s="26">
        <v>8.2500000000000004E-2</v>
      </c>
      <c r="Z707" s="26" t="s">
        <v>75</v>
      </c>
      <c r="AA707" s="26"/>
      <c r="AB707" s="26"/>
      <c r="AC707" s="26"/>
      <c r="AD707" s="26"/>
      <c r="AE707" s="26" t="s">
        <v>155</v>
      </c>
      <c r="AF707" s="26" t="s">
        <v>69</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57</v>
      </c>
      <c r="Y708" s="26">
        <v>7.4999999999999997E-2</v>
      </c>
      <c r="Z708" s="26" t="s">
        <v>78</v>
      </c>
      <c r="AA708" s="26"/>
      <c r="AB708" s="26"/>
      <c r="AC708" s="26"/>
      <c r="AD708" s="26"/>
      <c r="AE708" s="26" t="s">
        <v>195</v>
      </c>
      <c r="AF708" s="26" t="s">
        <v>69</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82</v>
      </c>
      <c r="T709" s="26"/>
      <c r="U709" s="26"/>
      <c r="V709" s="26">
        <v>4</v>
      </c>
      <c r="W709" s="26">
        <v>0.53</v>
      </c>
      <c r="X709" s="26" t="s">
        <v>57</v>
      </c>
      <c r="Y709" s="26">
        <v>6.7500000000000004E-2</v>
      </c>
      <c r="Z709" s="26" t="s">
        <v>83</v>
      </c>
      <c r="AA709" s="26"/>
      <c r="AB709" s="26"/>
      <c r="AC709" s="26"/>
      <c r="AD709" s="26"/>
      <c r="AE709" s="26" t="s">
        <v>562</v>
      </c>
      <c r="AF709" s="26" t="s">
        <v>69</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65.760000000000005</v>
      </c>
      <c r="P710" s="26" t="s">
        <v>87</v>
      </c>
      <c r="Q710" s="26">
        <f>ROUND((AF735-AT720)/365.25,2)</f>
        <v>0.36</v>
      </c>
      <c r="R710" s="26"/>
      <c r="S710" s="26" t="s">
        <v>6</v>
      </c>
      <c r="T710" s="26"/>
      <c r="U710" s="26"/>
      <c r="V710" s="26">
        <v>5</v>
      </c>
      <c r="W710" s="26">
        <v>0.54500000000000004</v>
      </c>
      <c r="X710" s="26" t="s">
        <v>57</v>
      </c>
      <c r="Y710" s="26">
        <v>0.06</v>
      </c>
      <c r="Z710" s="26" t="s">
        <v>88</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-5.7600000000000051</v>
      </c>
      <c r="P711" s="26" t="s">
        <v>94</v>
      </c>
      <c r="Q711" s="26">
        <f ca="1">Q710+O711</f>
        <v>-5.4000000000000048</v>
      </c>
      <c r="R711" s="26"/>
      <c r="S711" s="26" t="s">
        <v>95</v>
      </c>
      <c r="T711" s="26"/>
      <c r="U711" s="26"/>
      <c r="V711" s="26">
        <v>6</v>
      </c>
      <c r="W711" s="26">
        <v>0.56499999999999995</v>
      </c>
      <c r="X711" s="26" t="s">
        <v>57</v>
      </c>
      <c r="Y711" s="26">
        <v>5.2499999999999998E-2</v>
      </c>
      <c r="Z711" s="26" t="s">
        <v>96</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563</v>
      </c>
      <c r="BD711" s="26" t="s">
        <v>69</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27.239999999999995</v>
      </c>
      <c r="P712" s="26" t="s">
        <v>102</v>
      </c>
      <c r="Q712" s="26">
        <f>E928</f>
        <v>0</v>
      </c>
      <c r="R712" s="26" t="s">
        <v>103</v>
      </c>
      <c r="S712" s="26" t="s">
        <v>104</v>
      </c>
      <c r="T712" s="26"/>
      <c r="U712" s="26"/>
      <c r="V712" s="26">
        <v>7</v>
      </c>
      <c r="W712" s="26">
        <v>0.58499999999999996</v>
      </c>
      <c r="X712" s="26" t="s">
        <v>57</v>
      </c>
      <c r="Y712" s="26">
        <v>4.4999999999999998E-2</v>
      </c>
      <c r="Z712" s="26" t="s">
        <v>105</v>
      </c>
      <c r="AA712" s="26"/>
      <c r="AB712" s="26"/>
      <c r="AC712" s="26"/>
      <c r="AD712" s="26"/>
      <c r="AE712" s="26"/>
      <c r="AF712" s="26"/>
      <c r="AG712" s="26"/>
      <c r="AH712" s="26"/>
      <c r="AI712" s="26">
        <v>4</v>
      </c>
      <c r="AJ712" s="26" t="s">
        <v>57</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112</v>
      </c>
      <c r="T713" s="26"/>
      <c r="U713" s="26"/>
      <c r="V713" s="26">
        <v>8</v>
      </c>
      <c r="W713" s="26">
        <v>0.6</v>
      </c>
      <c r="X713" s="26"/>
      <c r="Y713" s="26">
        <v>0</v>
      </c>
      <c r="Z713" s="26" t="s">
        <v>113</v>
      </c>
      <c r="AA713" s="26"/>
      <c r="AB713" s="26"/>
      <c r="AC713" s="26"/>
      <c r="AD713" s="26"/>
      <c r="AE713" s="26"/>
      <c r="AF713" s="26"/>
      <c r="AG713" s="26"/>
      <c r="AH713" s="26"/>
      <c r="AI713" s="26">
        <v>4.5</v>
      </c>
      <c r="AJ713" s="26" t="s">
        <v>57</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57</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57</v>
      </c>
      <c r="U715" s="26"/>
      <c r="V715" s="26">
        <v>1</v>
      </c>
      <c r="W715" s="26">
        <v>0.63500000000000001</v>
      </c>
      <c r="X715" s="26"/>
      <c r="Y715" s="26"/>
      <c r="Z715" s="26"/>
      <c r="AA715" s="26"/>
      <c r="AB715" s="26"/>
      <c r="AC715" s="26"/>
      <c r="AD715" s="26"/>
      <c r="AE715" s="26"/>
      <c r="AF715" s="26"/>
      <c r="AG715" s="26"/>
      <c r="AH715" s="26"/>
      <c r="AI715" s="26">
        <v>5.5</v>
      </c>
      <c r="AJ715" s="26" t="s">
        <v>57</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123</v>
      </c>
      <c r="BV715" s="26" t="s">
        <v>124</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128</v>
      </c>
      <c r="T716" s="26">
        <v>0.05</v>
      </c>
      <c r="U716" s="26"/>
      <c r="V716" s="26">
        <v>11</v>
      </c>
      <c r="W716" s="26">
        <v>0.66</v>
      </c>
      <c r="X716" s="26"/>
      <c r="Y716" s="26" t="s">
        <v>129</v>
      </c>
      <c r="Z716" s="26">
        <v>0</v>
      </c>
      <c r="AA716" s="26"/>
      <c r="AB716" s="26"/>
      <c r="AC716" s="26"/>
      <c r="AD716" s="26"/>
      <c r="AE716" s="26"/>
      <c r="AF716" s="26"/>
      <c r="AG716" s="26"/>
      <c r="AH716" s="26"/>
      <c r="AI716" s="26">
        <v>6</v>
      </c>
      <c r="AJ716" s="26" t="s">
        <v>57</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133</v>
      </c>
      <c r="T717" s="26">
        <v>0.10249999999999999</v>
      </c>
      <c r="U717" s="26"/>
      <c r="V717" s="26">
        <v>12</v>
      </c>
      <c r="W717" s="26">
        <v>0.68</v>
      </c>
      <c r="X717" s="26"/>
      <c r="Y717" s="26" t="s">
        <v>134</v>
      </c>
      <c r="Z717" s="26">
        <f>W754</f>
        <v>1</v>
      </c>
      <c r="AA717" s="26"/>
      <c r="AB717" s="26"/>
      <c r="AC717" s="26">
        <v>5</v>
      </c>
      <c r="AD717" s="26"/>
      <c r="AE717" s="26" t="s">
        <v>135</v>
      </c>
      <c r="AF717" s="26"/>
      <c r="AG717" s="26" t="e">
        <f>#REF!</f>
        <v>#REF!</v>
      </c>
      <c r="AH717" s="26"/>
      <c r="AI717" s="26">
        <v>6.5</v>
      </c>
      <c r="AJ717" s="26" t="s">
        <v>57</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136</v>
      </c>
      <c r="BV717" s="26" t="s">
        <v>137</v>
      </c>
      <c r="BW717" s="26" t="s">
        <v>138</v>
      </c>
      <c r="BX717" s="26"/>
      <c r="BY717" s="26"/>
      <c r="BZ717" s="26"/>
      <c r="CA717" s="26"/>
      <c r="CB717" s="26"/>
      <c r="CC717" s="26" t="s">
        <v>139</v>
      </c>
      <c r="CD717" s="26"/>
      <c r="CE717" s="26"/>
      <c r="CF717" s="26"/>
      <c r="CG717" s="26" t="s">
        <v>140</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57</v>
      </c>
      <c r="AQ718" s="26">
        <f>BB771+BB772</f>
        <v>33</v>
      </c>
      <c r="AR718" s="26">
        <f>IF(AR719=0,0,1)</f>
        <v>1</v>
      </c>
      <c r="AS718" s="26"/>
      <c r="AT718" s="26"/>
      <c r="AU718" s="26" t="s">
        <v>57</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149</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57</v>
      </c>
      <c r="AV719" s="26">
        <v>14</v>
      </c>
      <c r="AW719" s="26">
        <v>0.312</v>
      </c>
      <c r="AX719" s="26"/>
      <c r="AY719" s="26"/>
      <c r="AZ719" s="26"/>
      <c r="BA719" s="26"/>
      <c r="BB719" s="26"/>
      <c r="BC719" s="26"/>
      <c r="BD719" s="26"/>
      <c r="BE719" s="26"/>
      <c r="BF719" s="26" t="s">
        <v>150</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564</v>
      </c>
      <c r="CC719" s="26" t="s">
        <v>13</v>
      </c>
      <c r="CD719" s="26" t="s">
        <v>14</v>
      </c>
      <c r="CE719" s="26" t="s">
        <v>15</v>
      </c>
      <c r="CF719" s="26" t="s">
        <v>16</v>
      </c>
      <c r="CG719" s="26" t="s">
        <v>442</v>
      </c>
      <c r="CH719" s="26" t="s">
        <v>565</v>
      </c>
      <c r="CI719" s="26" t="s">
        <v>139</v>
      </c>
      <c r="CJ719" s="26" t="s">
        <v>566</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154</v>
      </c>
      <c r="T720" s="26">
        <v>0</v>
      </c>
      <c r="U720" s="26" t="e">
        <f>M747*1.2%*#REF!</f>
        <v>#REF!</v>
      </c>
      <c r="V720" s="26" t="s">
        <v>154</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156</v>
      </c>
      <c r="AP720" s="26">
        <v>39844</v>
      </c>
      <c r="AQ720" s="26">
        <v>8</v>
      </c>
      <c r="AR720" s="26">
        <v>8.5</v>
      </c>
      <c r="AS720" s="26" t="s">
        <v>157</v>
      </c>
      <c r="AT720" s="26">
        <v>40442</v>
      </c>
      <c r="AU720" s="26"/>
      <c r="AV720" s="26"/>
      <c r="AW720" s="26"/>
      <c r="AX720" s="26" t="str">
        <f ca="1">"06/"&amp;MID(AY720,1,4)</f>
        <v>06/2016</v>
      </c>
      <c r="AY720" s="26">
        <f ca="1">YEAR(AQ719+I775)+AR718</f>
        <v>2016</v>
      </c>
      <c r="AZ720" s="26" t="s">
        <v>158</v>
      </c>
      <c r="BA720" s="26"/>
      <c r="BB720" s="26"/>
      <c r="BC720" s="26"/>
      <c r="BD720" s="26">
        <v>15</v>
      </c>
      <c r="BE720" s="26">
        <v>0.33600000000000002</v>
      </c>
      <c r="BF720" s="26"/>
      <c r="BG720" s="26"/>
      <c r="BH720" s="26" t="s">
        <v>159</v>
      </c>
      <c r="BI720" s="26" t="s">
        <v>160</v>
      </c>
      <c r="BJ720" s="26" t="s">
        <v>161</v>
      </c>
      <c r="BK720" s="26"/>
      <c r="BL720" s="26"/>
      <c r="BM720" s="26"/>
      <c r="BN720" s="26" t="s">
        <v>162</v>
      </c>
      <c r="BO720" s="26">
        <f>E111</f>
        <v>0</v>
      </c>
      <c r="BP720" s="26"/>
      <c r="BQ720" s="26"/>
      <c r="BR720" s="26"/>
      <c r="BS720" s="26"/>
      <c r="BT720" s="26" t="s">
        <v>163</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57</v>
      </c>
      <c r="Z721" s="26"/>
      <c r="AA721" s="26" t="e">
        <f>1-#REF!/(#REF!+#REF!)</f>
        <v>#REF!</v>
      </c>
      <c r="AB721" s="26"/>
      <c r="AC721" s="26"/>
      <c r="AD721" s="26"/>
      <c r="AE721" s="26"/>
      <c r="AF721" s="26"/>
      <c r="AG721" s="26" t="s">
        <v>166</v>
      </c>
      <c r="AH721" s="26">
        <v>39872</v>
      </c>
      <c r="AI721" s="26">
        <v>8.5</v>
      </c>
      <c r="AJ721" s="26">
        <v>9</v>
      </c>
      <c r="AK721" s="26"/>
      <c r="AL721" s="26"/>
      <c r="AM721" s="26"/>
      <c r="AN721" s="26" t="s">
        <v>167</v>
      </c>
      <c r="AO721" s="26"/>
      <c r="AP721" s="26"/>
      <c r="AQ721" s="26"/>
      <c r="AR721" s="26"/>
      <c r="AS721" s="26"/>
      <c r="AT721" s="26" t="s">
        <v>168</v>
      </c>
      <c r="AU721" s="26"/>
      <c r="AV721" s="26">
        <v>16</v>
      </c>
      <c r="AW721" s="26">
        <v>0.36</v>
      </c>
      <c r="AX721" s="26"/>
      <c r="AY721" s="26"/>
      <c r="AZ721" s="26" t="s">
        <v>169</v>
      </c>
      <c r="BA721" s="26" t="s">
        <v>169</v>
      </c>
      <c r="BB721" s="26" t="s">
        <v>170</v>
      </c>
      <c r="BC721" s="26" t="s">
        <v>171</v>
      </c>
      <c r="BD721" s="26" t="s">
        <v>172</v>
      </c>
      <c r="BE721" s="26" t="s">
        <v>173</v>
      </c>
      <c r="BF721" s="26" t="s">
        <v>174</v>
      </c>
      <c r="BG721" s="26"/>
      <c r="BH721" s="26"/>
      <c r="BI721" s="26"/>
      <c r="BJ721" s="26"/>
      <c r="BK721" s="26"/>
      <c r="BL721" s="26">
        <v>1114297</v>
      </c>
      <c r="BM721" s="26"/>
      <c r="BN721" s="26" t="s">
        <v>175</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57</v>
      </c>
      <c r="R722" s="26"/>
      <c r="S722" s="26"/>
      <c r="T722" s="26"/>
      <c r="U722" s="26"/>
      <c r="V722" s="26" t="s">
        <v>182</v>
      </c>
      <c r="W722" s="26">
        <v>5</v>
      </c>
      <c r="X722" s="26"/>
      <c r="Y722" s="26"/>
      <c r="Z722" s="26" t="s">
        <v>57</v>
      </c>
      <c r="AA722" s="26" t="s">
        <v>57</v>
      </c>
      <c r="AB722" s="26" t="s">
        <v>183</v>
      </c>
      <c r="AC722" s="26"/>
      <c r="AD722" s="26"/>
      <c r="AE722" s="26"/>
      <c r="AF722" s="26"/>
      <c r="AG722" s="26" t="s">
        <v>184</v>
      </c>
      <c r="AH722" s="26">
        <v>39903</v>
      </c>
      <c r="AI722" s="26">
        <v>9</v>
      </c>
      <c r="AJ722" s="26" t="s">
        <v>185</v>
      </c>
      <c r="AK722" s="26" t="s">
        <v>100</v>
      </c>
      <c r="AL722" s="26" t="s">
        <v>186</v>
      </c>
      <c r="AM722" s="26">
        <f>'[1]נתוני מס'!I22</f>
        <v>395</v>
      </c>
      <c r="AN722" s="26">
        <v>10</v>
      </c>
      <c r="AO722" s="26"/>
      <c r="AP722" s="26" t="s">
        <v>187</v>
      </c>
      <c r="AQ722" s="26"/>
      <c r="AR722" s="26"/>
      <c r="AS722" s="26"/>
      <c r="AT722" s="26">
        <f>AL723</f>
        <v>21262</v>
      </c>
      <c r="AU722" s="26" t="s">
        <v>188</v>
      </c>
      <c r="AV722" s="26" t="s">
        <v>189</v>
      </c>
      <c r="AW722" s="26">
        <f>VLOOKUP(BB779,nihool,2,FALSE)</f>
        <v>0</v>
      </c>
      <c r="AX722" s="26"/>
      <c r="AY722" s="26"/>
      <c r="AZ722" s="26" t="s">
        <v>174</v>
      </c>
      <c r="BA722" s="26" t="s">
        <v>190</v>
      </c>
      <c r="BB722" s="26" t="e">
        <f>#REF!/12</f>
        <v>#REF!</v>
      </c>
      <c r="BC722" s="26" t="e">
        <f>G966</f>
        <v>#REF!</v>
      </c>
      <c r="BD722" s="26" t="e">
        <f>#REF!/12-BE812</f>
        <v>#REF!</v>
      </c>
      <c r="BE722" s="26" t="e">
        <f>(12*(E946-L807)+BB787)/12</f>
        <v>#REF!</v>
      </c>
      <c r="BF722" s="26" t="e">
        <f>(#REF!*((12-BE741/12))+BB787/12*BE742)/12+E111+BE723*((12-BE742)/12)</f>
        <v>#REF!</v>
      </c>
      <c r="BG722" s="26"/>
      <c r="BH722" s="26"/>
      <c r="BI722" s="26" t="s">
        <v>191</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567</v>
      </c>
      <c r="T723" s="26"/>
      <c r="U723" s="26"/>
      <c r="V723" s="26"/>
      <c r="W723" s="26"/>
      <c r="X723" s="26"/>
      <c r="Y723" s="26" t="s">
        <v>196</v>
      </c>
      <c r="Z723" s="26" t="s">
        <v>57</v>
      </c>
      <c r="AA723" s="26" t="s">
        <v>57</v>
      </c>
      <c r="AB723" s="26" t="s">
        <v>197</v>
      </c>
      <c r="AC723" s="26"/>
      <c r="AD723" s="26"/>
      <c r="AE723" s="26" t="s">
        <v>198</v>
      </c>
      <c r="AF723" s="26"/>
      <c r="AG723" s="26" t="s">
        <v>199</v>
      </c>
      <c r="AH723" s="26">
        <v>39933</v>
      </c>
      <c r="AI723" s="26"/>
      <c r="AJ723" s="26"/>
      <c r="AK723" s="26" t="s">
        <v>188</v>
      </c>
      <c r="AL723" s="26">
        <v>21262</v>
      </c>
      <c r="AM723" s="26"/>
      <c r="AN723" s="26" t="s">
        <v>200</v>
      </c>
      <c r="AO723" s="26"/>
      <c r="AP723" s="26">
        <v>0</v>
      </c>
      <c r="AQ723" s="26"/>
      <c r="AR723" s="26"/>
      <c r="AS723" s="26"/>
      <c r="AT723" s="26"/>
      <c r="AU723" s="26"/>
      <c r="AV723" s="26" t="s">
        <v>201</v>
      </c>
      <c r="AW723" s="26">
        <f>VLOOKUP(G102,nihool,2,FALSE)</f>
        <v>0</v>
      </c>
      <c r="AX723" s="26"/>
      <c r="AY723" s="26"/>
      <c r="AZ723" s="26" t="e">
        <f>#REF!/12/#REF!+G966+E111-BE812</f>
        <v>#REF!</v>
      </c>
      <c r="BA723" s="26" t="e">
        <f>#REF!/12+G966+E111-BE812</f>
        <v>#REF!</v>
      </c>
      <c r="BB723" s="26" t="s">
        <v>202</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203</v>
      </c>
      <c r="BQ723" s="26"/>
      <c r="BR723" s="26"/>
      <c r="BS723" s="26"/>
      <c r="BT723" s="26"/>
      <c r="BU723" s="26" t="s">
        <v>204</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568</v>
      </c>
      <c r="T724" s="26"/>
      <c r="U724" s="26"/>
      <c r="V724" s="26" t="s">
        <v>210</v>
      </c>
      <c r="W724" s="26" t="s">
        <v>198</v>
      </c>
      <c r="X724" s="26"/>
      <c r="Y724" s="26" t="s">
        <v>27</v>
      </c>
      <c r="Z724" s="26" t="s">
        <v>57</v>
      </c>
      <c r="AA724" s="26" t="s">
        <v>57</v>
      </c>
      <c r="AB724" s="26" t="s">
        <v>211</v>
      </c>
      <c r="AC724" s="26"/>
      <c r="AD724" s="26"/>
      <c r="AE724" s="26"/>
      <c r="AF724" s="26"/>
      <c r="AG724" s="26" t="s">
        <v>212</v>
      </c>
      <c r="AH724" s="26">
        <v>39964</v>
      </c>
      <c r="AI724" s="26"/>
      <c r="AJ724" s="26"/>
      <c r="AK724" s="26" t="s">
        <v>213</v>
      </c>
      <c r="AL724" s="26" t="s">
        <v>214</v>
      </c>
      <c r="AM724" s="26"/>
      <c r="AN724" s="26">
        <v>11</v>
      </c>
      <c r="AO724" s="26"/>
      <c r="AP724" s="26">
        <v>0.5</v>
      </c>
      <c r="AQ724" s="26"/>
      <c r="AR724" s="26"/>
      <c r="AS724" s="26" t="s">
        <v>57</v>
      </c>
      <c r="AT724" s="26">
        <v>17288</v>
      </c>
      <c r="AU724" s="26">
        <v>17288</v>
      </c>
      <c r="AV724" s="26"/>
      <c r="AW724" s="26" t="s">
        <v>215</v>
      </c>
      <c r="AX724" s="26"/>
      <c r="AY724" s="26"/>
      <c r="AZ724" s="26" t="s">
        <v>216</v>
      </c>
      <c r="BA724" s="26"/>
      <c r="BB724" s="26"/>
      <c r="BC724" s="26" t="s">
        <v>217</v>
      </c>
      <c r="BD724" s="26" t="s">
        <v>218</v>
      </c>
      <c r="BE724" s="26" t="s">
        <v>171</v>
      </c>
      <c r="BF724" s="26" t="s">
        <v>219</v>
      </c>
      <c r="BG724" s="26" t="s">
        <v>220</v>
      </c>
      <c r="BH724" s="26" t="s">
        <v>221</v>
      </c>
      <c r="BI724" s="26" t="s">
        <v>222</v>
      </c>
      <c r="BJ724" s="26"/>
      <c r="BK724" s="26" t="s">
        <v>223</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569</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570</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571</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228</v>
      </c>
      <c r="W732" s="26"/>
      <c r="X732" s="26"/>
      <c r="Y732" s="26"/>
      <c r="Z732" s="26" t="s">
        <v>57</v>
      </c>
      <c r="AA732" s="26" t="s">
        <v>57</v>
      </c>
      <c r="AB732" s="26" t="s">
        <v>229</v>
      </c>
      <c r="AC732" s="26" t="s">
        <v>57</v>
      </c>
      <c r="AD732" s="26"/>
      <c r="AE732" s="26" t="s">
        <v>230</v>
      </c>
      <c r="AF732" s="26"/>
      <c r="AG732" s="26" t="s">
        <v>231</v>
      </c>
      <c r="AH732" s="26">
        <v>39994</v>
      </c>
      <c r="AI732" s="26"/>
      <c r="AJ732" s="26"/>
      <c r="AK732" s="26" t="s">
        <v>232</v>
      </c>
      <c r="AL732" s="26">
        <v>28734</v>
      </c>
      <c r="AM732" s="26"/>
      <c r="AN732" s="26" t="s">
        <v>233</v>
      </c>
      <c r="AO732" s="26"/>
      <c r="AP732" s="26">
        <v>1</v>
      </c>
      <c r="AQ732" s="26"/>
      <c r="AR732" s="26"/>
      <c r="AS732" s="26" t="s">
        <v>57</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237</v>
      </c>
      <c r="V733" s="26"/>
      <c r="W733" s="26">
        <v>0</v>
      </c>
      <c r="X733" s="26"/>
      <c r="Y733" s="26"/>
      <c r="Z733" s="26" t="s">
        <v>57</v>
      </c>
      <c r="AA733" s="26" t="s">
        <v>238</v>
      </c>
      <c r="AB733" s="26" t="s">
        <v>239</v>
      </c>
      <c r="AC733" s="26"/>
      <c r="AD733" s="26"/>
      <c r="AE733" s="26" t="s">
        <v>240</v>
      </c>
      <c r="AF733" s="26">
        <v>389</v>
      </c>
      <c r="AG733" s="26" t="s">
        <v>241</v>
      </c>
      <c r="AH733" s="26">
        <v>40025</v>
      </c>
      <c r="AI733" s="26"/>
      <c r="AJ733" s="26"/>
      <c r="AK733" s="26">
        <v>16</v>
      </c>
      <c r="AL733" s="26">
        <v>11</v>
      </c>
      <c r="AM733" s="26"/>
      <c r="AN733" s="26">
        <v>12</v>
      </c>
      <c r="AO733" s="26"/>
      <c r="AP733" s="26">
        <v>1.5</v>
      </c>
      <c r="AQ733" s="26"/>
      <c r="AR733" s="26"/>
      <c r="AS733" s="26" t="s">
        <v>57</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250</v>
      </c>
      <c r="T734" s="26"/>
      <c r="U734" s="26"/>
      <c r="V734" s="26"/>
      <c r="W734" s="26"/>
      <c r="X734" s="26"/>
      <c r="Y734" s="26"/>
      <c r="Z734" s="26" t="s">
        <v>57</v>
      </c>
      <c r="AA734" s="26"/>
      <c r="AB734" s="26" t="s">
        <v>57</v>
      </c>
      <c r="AC734" s="26"/>
      <c r="AD734" s="26"/>
      <c r="AE734" s="26" t="s">
        <v>251</v>
      </c>
      <c r="AF734" s="26">
        <v>0.59709999999999996</v>
      </c>
      <c r="AG734" s="26" t="s">
        <v>252</v>
      </c>
      <c r="AH734" s="26">
        <v>40056</v>
      </c>
      <c r="AI734" s="26"/>
      <c r="AJ734" s="26"/>
      <c r="AK734" s="26">
        <v>20</v>
      </c>
      <c r="AL734" s="26">
        <v>12</v>
      </c>
      <c r="AM734" s="26"/>
      <c r="AN734" s="26" t="s">
        <v>253</v>
      </c>
      <c r="AO734" s="26" t="s">
        <v>254</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255</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261</v>
      </c>
      <c r="T735" s="26"/>
      <c r="U735" s="26"/>
      <c r="V735" s="26"/>
      <c r="W735" s="26"/>
      <c r="X735" s="26">
        <v>40147</v>
      </c>
      <c r="Y735" s="26"/>
      <c r="Z735" s="26" t="s">
        <v>262</v>
      </c>
      <c r="AA735" s="26" t="e">
        <f>IF(BA760&lt;60,MIN(AV753:AV755),0)</f>
        <v>#REF!</v>
      </c>
      <c r="AB735" s="26"/>
      <c r="AC735" s="26"/>
      <c r="AD735" s="26"/>
      <c r="AE735" s="26" t="s">
        <v>263</v>
      </c>
      <c r="AF735" s="26">
        <v>40574</v>
      </c>
      <c r="AG735" s="26" t="s">
        <v>149</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136</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214</v>
      </c>
      <c r="AF736" s="26"/>
      <c r="AG736" s="26" t="s">
        <v>270</v>
      </c>
      <c r="AH736" s="26">
        <v>40117</v>
      </c>
      <c r="AI736" s="26"/>
      <c r="AJ736" s="26"/>
      <c r="AK736" s="26"/>
      <c r="AL736" s="26"/>
      <c r="AM736" s="26"/>
      <c r="AN736" s="26" t="s">
        <v>271</v>
      </c>
      <c r="AO736" s="26" t="s">
        <v>272</v>
      </c>
      <c r="AP736" s="26">
        <v>3</v>
      </c>
      <c r="AQ736" s="26"/>
      <c r="AR736" s="26"/>
      <c r="AS736" s="26"/>
      <c r="AT736" s="26">
        <v>19238</v>
      </c>
      <c r="AU736" s="26">
        <v>19238</v>
      </c>
      <c r="AV736" s="26"/>
      <c r="AW736" s="26" t="s">
        <v>273</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222</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57</v>
      </c>
      <c r="Q737" s="26"/>
      <c r="R737" s="26"/>
      <c r="S737" s="26"/>
      <c r="T737" s="26"/>
      <c r="U737" s="26"/>
      <c r="V737" s="26"/>
      <c r="W737" s="26"/>
      <c r="X737" s="26"/>
      <c r="Y737" s="26"/>
      <c r="Z737" s="26" t="s">
        <v>273</v>
      </c>
      <c r="AA737" s="26">
        <f ca="1">YEAR(AF735)-YEAR(I775)+AX736</f>
        <v>21</v>
      </c>
      <c r="AB737" s="26"/>
      <c r="AC737" s="26"/>
      <c r="AD737" s="26" t="s">
        <v>278</v>
      </c>
      <c r="AE737" s="26" t="s">
        <v>279</v>
      </c>
      <c r="AF737" s="26" t="s">
        <v>280</v>
      </c>
      <c r="AG737" s="26" t="s">
        <v>281</v>
      </c>
      <c r="AH737" s="26">
        <v>40147</v>
      </c>
      <c r="AI737" s="26"/>
      <c r="AJ737" s="26"/>
      <c r="AK737" s="26"/>
      <c r="AL737" s="26" t="s">
        <v>57</v>
      </c>
      <c r="AM737" s="26">
        <f ca="1">VLOOKUP(AA737,__HAV2,2,TRUE)</f>
        <v>12</v>
      </c>
      <c r="AN737" s="26">
        <v>14</v>
      </c>
      <c r="AO737" s="26">
        <v>35</v>
      </c>
      <c r="AP737" s="26"/>
      <c r="AQ737" s="26"/>
      <c r="AR737" s="26"/>
      <c r="AS737" s="26"/>
      <c r="AT737" s="26">
        <v>19480</v>
      </c>
      <c r="AU737" s="26">
        <v>19480</v>
      </c>
      <c r="AV737" s="26" t="s">
        <v>282</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283</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52</v>
      </c>
      <c r="N738" s="26">
        <f ca="1">ROUND((I775-AT720)/365.25,2)</f>
        <v>13.25</v>
      </c>
      <c r="O738" s="26"/>
      <c r="P738" s="26"/>
      <c r="Q738" s="26"/>
      <c r="R738" s="26"/>
      <c r="S738" s="26"/>
      <c r="T738" s="26"/>
      <c r="U738" s="26"/>
      <c r="V738" s="26" t="s">
        <v>572</v>
      </c>
      <c r="W738" s="26"/>
      <c r="X738" s="26">
        <v>164.07</v>
      </c>
      <c r="Y738" s="26"/>
      <c r="Z738" s="26" t="s">
        <v>290</v>
      </c>
      <c r="AA738" s="26">
        <f>AX734</f>
        <v>33</v>
      </c>
      <c r="AB738" s="26"/>
      <c r="AC738" s="26" t="s">
        <v>189</v>
      </c>
      <c r="AD738" s="26">
        <f>IF(AX734&gt;AA739,AA739,AX734)</f>
        <v>33</v>
      </c>
      <c r="AE738" s="26" t="e">
        <f>IF(W724=#REF!,1.5*AF738,1*AF738)</f>
        <v>#REF!</v>
      </c>
      <c r="AF738" s="26">
        <f>IF(W724=AE723,1,IF(AX734&gt;30,0.75,1))</f>
        <v>1</v>
      </c>
      <c r="AG738" s="26" t="s">
        <v>291</v>
      </c>
      <c r="AH738" s="26">
        <v>40178</v>
      </c>
      <c r="AI738" s="26"/>
      <c r="AJ738" s="26"/>
      <c r="AK738" s="26"/>
      <c r="AL738" s="26"/>
      <c r="AM738" s="26"/>
      <c r="AN738" s="26" t="s">
        <v>292</v>
      </c>
      <c r="AO738" s="26" t="s">
        <v>293</v>
      </c>
      <c r="AP738" s="26"/>
      <c r="AQ738" s="26"/>
      <c r="AR738" s="26"/>
      <c r="AS738" s="26"/>
      <c r="AT738" s="26"/>
      <c r="AU738" s="26"/>
      <c r="AV738" s="26"/>
      <c r="AW738" s="26" t="s">
        <v>57</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57</v>
      </c>
      <c r="N739" s="26"/>
      <c r="O739" s="26"/>
      <c r="P739" s="26"/>
      <c r="Q739" s="26"/>
      <c r="R739" s="26"/>
      <c r="S739" s="26"/>
      <c r="T739" s="26"/>
      <c r="U739" s="26"/>
      <c r="V739" s="26" t="s">
        <v>300</v>
      </c>
      <c r="W739" s="26">
        <f>IF(BB781=Y723,12%,0)</f>
        <v>0</v>
      </c>
      <c r="X739" s="26"/>
      <c r="Y739" s="26"/>
      <c r="Z739" s="26" t="s">
        <v>301</v>
      </c>
      <c r="AA739" s="26">
        <v>36</v>
      </c>
      <c r="AB739" s="26"/>
      <c r="AC739" s="26" t="s">
        <v>302</v>
      </c>
      <c r="AD739" s="26">
        <f ca="1">IF((AD738+AB748)&gt;AA739,AA739,AD738+AB748)</f>
        <v>21</v>
      </c>
      <c r="AE739" s="26"/>
      <c r="AF739" s="26"/>
      <c r="AG739" s="26"/>
      <c r="AH739" s="26">
        <v>40209</v>
      </c>
      <c r="AI739" s="26"/>
      <c r="AJ739" s="26"/>
      <c r="AK739" s="26"/>
      <c r="AL739" s="26"/>
      <c r="AM739" s="26"/>
      <c r="AN739" s="26">
        <v>15</v>
      </c>
      <c r="AO739" s="26">
        <v>36</v>
      </c>
      <c r="AP739" s="26"/>
      <c r="AQ739" s="26"/>
      <c r="AR739" s="26" t="s">
        <v>303</v>
      </c>
      <c r="AS739" s="26"/>
      <c r="AT739" s="26">
        <f ca="1">IF(MONTH(I775)=1,1,0)</f>
        <v>0</v>
      </c>
      <c r="AU739" s="26"/>
      <c r="AV739" s="26" t="s">
        <v>304</v>
      </c>
      <c r="AW739" s="26" t="e">
        <f>(L807-#REF!)*12</f>
        <v>#REF!</v>
      </c>
      <c r="AX739" s="26"/>
      <c r="AY739" s="26"/>
      <c r="AZ739" s="26"/>
      <c r="BA739" s="26" t="s">
        <v>305</v>
      </c>
      <c r="BB739" s="26" t="s">
        <v>306</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307</v>
      </c>
      <c r="BL739" s="26"/>
      <c r="BM739" s="26"/>
      <c r="BN739" s="26" t="e">
        <f ca="1">IF($BM$738=0%,BN737,IF(BN724&lt;$BK$723,BN737*$BD$809,BN737-($BK$738*BN738)))</f>
        <v>#REF!</v>
      </c>
      <c r="BO739" s="26"/>
      <c r="BP739" s="26" t="e">
        <f ca="1">IF($BM$738=0%,BP737,IF(BP724&lt;$BK$723,BP737*$BD$809,BP737-($BK$738*BP738)))</f>
        <v>#REF!</v>
      </c>
      <c r="BQ739" s="26" t="s">
        <v>308</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312</v>
      </c>
      <c r="AC740" s="26"/>
      <c r="AD740" s="26"/>
      <c r="AE740" s="26" t="e">
        <f>(100-AE738)/100</f>
        <v>#REF!</v>
      </c>
      <c r="AF740" s="26"/>
      <c r="AG740" s="26"/>
      <c r="AH740" s="26">
        <v>40237</v>
      </c>
      <c r="AI740" s="26"/>
      <c r="AJ740" s="26" t="s">
        <v>313</v>
      </c>
      <c r="AK740" s="26"/>
      <c r="AL740" s="26"/>
      <c r="AM740" s="26"/>
      <c r="AN740" s="26" t="s">
        <v>314</v>
      </c>
      <c r="AO740" s="26" t="s">
        <v>315</v>
      </c>
      <c r="AP740" s="26"/>
      <c r="AQ740" s="26"/>
      <c r="AR740" s="26"/>
      <c r="AS740" s="26"/>
      <c r="AT740" s="26" t="s">
        <v>57</v>
      </c>
      <c r="AU740" s="26"/>
      <c r="AV740" s="26" t="s">
        <v>57</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316</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319</v>
      </c>
      <c r="W741" s="26"/>
      <c r="X741" s="26"/>
      <c r="Y741" s="26"/>
      <c r="Z741" s="26" t="s">
        <v>320</v>
      </c>
      <c r="AA741" s="26"/>
      <c r="AB741" s="26" t="s">
        <v>321</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57</v>
      </c>
      <c r="AQ741" s="26"/>
      <c r="AR741" s="26"/>
      <c r="AS741" s="26"/>
      <c r="AT741" s="26"/>
      <c r="AU741" s="26"/>
      <c r="AV741" s="26">
        <f>IF(24.75-BB771-BB772&lt;=0,0,IF((24.75-BB771-BB772)&gt;#REF!,#REF!*#REF!*0.6,(24.75-BB771-BB772)*#REF!*0.6))</f>
        <v>0</v>
      </c>
      <c r="AW741" s="26"/>
      <c r="AX741" s="26"/>
      <c r="AY741" s="26"/>
      <c r="AZ741" s="26"/>
      <c r="BA741" s="26"/>
      <c r="BB741" s="26" t="s">
        <v>322</v>
      </c>
      <c r="BC741" s="26"/>
      <c r="BD741" s="26"/>
      <c r="BE741" s="26">
        <f>IF(MONTH(AF735)&gt;9,0,MONTH(AF735)-1+DAY(AF735)/30)</f>
        <v>1.0333333333333334</v>
      </c>
      <c r="BF741" s="26"/>
      <c r="BG741" s="26" t="s">
        <v>323</v>
      </c>
      <c r="BH741" s="26" t="e">
        <f>IF(BH740=0,0,(BH740-(BB786*BH742)*12)-BK741)</f>
        <v>#REF!</v>
      </c>
      <c r="BI741" s="26" t="s">
        <v>324</v>
      </c>
      <c r="BJ741" s="26" t="s">
        <v>325</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57</v>
      </c>
      <c r="V742" s="26" t="s">
        <v>330</v>
      </c>
      <c r="W742" s="26" t="s">
        <v>250</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331</v>
      </c>
      <c r="AO742" s="26" t="s">
        <v>332</v>
      </c>
      <c r="AP742" s="26"/>
      <c r="AQ742" s="26"/>
      <c r="AR742" s="26"/>
      <c r="AS742" s="26" t="s">
        <v>333</v>
      </c>
      <c r="AT742" s="26">
        <f ca="1">ROUND(G906,0)</f>
        <v>-11</v>
      </c>
      <c r="AU742" s="26"/>
      <c r="AV742" s="26" t="e">
        <f>IF(G911&lt;70%,IF(#REF!* 2% &gt;70%-G911,70%-G911,#REF!*2%),IF(G909+G910-G911&lt;=0,0,G909+G910-G911))</f>
        <v>#REF!</v>
      </c>
      <c r="AW742" s="26"/>
      <c r="AX742" s="26"/>
      <c r="AY742" s="26"/>
      <c r="AZ742" s="26"/>
      <c r="BA742" s="26"/>
      <c r="BB742" s="26" t="s">
        <v>334</v>
      </c>
      <c r="BC742" s="26"/>
      <c r="BD742" s="26"/>
      <c r="BE742" s="26">
        <f>MONTH(AF735)-1+DAY(AF735)/30</f>
        <v>1.0333333333333334</v>
      </c>
      <c r="BF742" s="26"/>
      <c r="BG742" s="26" t="s">
        <v>335</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337</v>
      </c>
      <c r="W743" s="26" t="s">
        <v>128</v>
      </c>
      <c r="X743" s="26"/>
      <c r="Y743" s="26"/>
      <c r="Z743" s="26" t="s">
        <v>57</v>
      </c>
      <c r="AA743" s="26"/>
      <c r="AB743" s="26"/>
      <c r="AC743" s="26"/>
      <c r="AD743" s="26" t="s">
        <v>338</v>
      </c>
      <c r="AE743" s="26">
        <f>L807*0.36</f>
        <v>5184.4128898677536</v>
      </c>
      <c r="AF743" s="26"/>
      <c r="AG743" s="26"/>
      <c r="AH743" s="26">
        <v>40329</v>
      </c>
      <c r="AI743" s="26"/>
      <c r="AJ743" s="26" t="s">
        <v>339</v>
      </c>
      <c r="AK743" s="26" t="s">
        <v>340</v>
      </c>
      <c r="AL743" s="26"/>
      <c r="AM743" s="26"/>
      <c r="AN743" s="26">
        <v>17</v>
      </c>
      <c r="AO743" s="26">
        <v>38</v>
      </c>
      <c r="AP743" s="26"/>
      <c r="AQ743" s="26"/>
      <c r="AR743" s="26"/>
      <c r="AS743" s="26" t="s">
        <v>341</v>
      </c>
      <c r="AT743" s="26" t="s">
        <v>57</v>
      </c>
      <c r="AU743" s="26"/>
      <c r="AV743" s="26"/>
      <c r="AW743" s="26"/>
      <c r="AX743" s="26"/>
      <c r="AY743" s="26"/>
      <c r="AZ743" s="26"/>
      <c r="BA743" s="26"/>
      <c r="BB743" s="26"/>
      <c r="BC743" s="26"/>
      <c r="BD743" s="26"/>
      <c r="BE743" s="26"/>
      <c r="BF743" s="26"/>
      <c r="BG743" s="26" t="s">
        <v>342</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57</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86</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346</v>
      </c>
      <c r="AO744" s="26" t="s">
        <v>347</v>
      </c>
      <c r="AP744" s="26"/>
      <c r="AQ744" s="26"/>
      <c r="AR744" s="26"/>
      <c r="AS744" s="26" t="s">
        <v>348</v>
      </c>
      <c r="AT744" s="26">
        <f ca="1">(AT746*2)/100</f>
        <v>-1.8333333333333333E-2</v>
      </c>
      <c r="AU744" s="26"/>
      <c r="AV744" s="26"/>
      <c r="AW744" s="26"/>
      <c r="AX744" s="26"/>
      <c r="AY744" s="26"/>
      <c r="AZ744" s="26"/>
      <c r="BA744" s="26"/>
      <c r="BB744" s="26"/>
      <c r="BC744" s="26"/>
      <c r="BD744" s="26"/>
      <c r="BE744" s="26"/>
      <c r="BF744" s="26" t="s">
        <v>57</v>
      </c>
      <c r="BG744" s="26" t="s">
        <v>349</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93</v>
      </c>
      <c r="O745" s="26"/>
      <c r="P745" s="26"/>
      <c r="Q745" s="26"/>
      <c r="R745" s="26"/>
      <c r="S745" s="26"/>
      <c r="T745" s="26" t="s">
        <v>351</v>
      </c>
      <c r="U745" s="26"/>
      <c r="V745" s="26">
        <v>0</v>
      </c>
      <c r="W745" s="26" t="s">
        <v>352</v>
      </c>
      <c r="X745" s="26"/>
      <c r="Y745" s="26"/>
      <c r="Z745" s="26"/>
      <c r="AA745" s="26" t="s">
        <v>8</v>
      </c>
      <c r="AB745" s="26" t="s">
        <v>353</v>
      </c>
      <c r="AC745" s="26" t="s">
        <v>354</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101</v>
      </c>
      <c r="O746" s="26"/>
      <c r="P746" s="26"/>
      <c r="Q746" s="26"/>
      <c r="R746" s="26"/>
      <c r="S746" s="26"/>
      <c r="T746" s="26" t="s">
        <v>355</v>
      </c>
      <c r="U746" s="26"/>
      <c r="V746" s="26" t="s">
        <v>356</v>
      </c>
      <c r="W746" s="26" t="s">
        <v>357</v>
      </c>
      <c r="X746" s="26"/>
      <c r="Y746" s="26"/>
      <c r="Z746" s="26"/>
      <c r="AA746" s="26" t="s">
        <v>69</v>
      </c>
      <c r="AB746" s="26">
        <f>IF(AX734&lt;AA739,AX734-INT(AX734),0)</f>
        <v>0</v>
      </c>
      <c r="AC746" s="26" t="s">
        <v>358</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359</v>
      </c>
      <c r="AO746" s="26" t="s">
        <v>360</v>
      </c>
      <c r="AP746" s="26"/>
      <c r="AQ746" s="26"/>
      <c r="AR746" s="26"/>
      <c r="AS746" s="26" t="s">
        <v>361</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111</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302</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363</v>
      </c>
      <c r="AW747" s="26" t="s">
        <v>364</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368</v>
      </c>
      <c r="AB748" s="26">
        <f ca="1">YEAR(AF735)-YEAR(I775)</f>
        <v>-12</v>
      </c>
      <c r="AC748" s="26"/>
      <c r="AD748" s="26"/>
      <c r="AE748" s="26"/>
      <c r="AF748" s="26"/>
      <c r="AG748" s="26"/>
      <c r="AH748" s="26">
        <v>40482</v>
      </c>
      <c r="AI748" s="26"/>
      <c r="AJ748" s="26"/>
      <c r="AK748" s="26"/>
      <c r="AL748" s="26"/>
      <c r="AM748" s="26"/>
      <c r="AN748" s="26" t="s">
        <v>369</v>
      </c>
      <c r="AO748" s="26" t="s">
        <v>370</v>
      </c>
      <c r="AP748" s="26"/>
      <c r="AQ748" s="26"/>
      <c r="AR748" s="26"/>
      <c r="AS748" s="26"/>
      <c r="AT748" s="26" t="s">
        <v>371</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57</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374</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375</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376</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377</v>
      </c>
      <c r="W750" s="26">
        <v>0</v>
      </c>
      <c r="X750" s="26"/>
      <c r="Y750" s="26"/>
      <c r="Z750" s="26"/>
      <c r="AA750" s="26"/>
      <c r="AB750" s="26"/>
      <c r="AC750" s="26" t="s">
        <v>358</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378</v>
      </c>
      <c r="AO750" s="26" t="s">
        <v>379</v>
      </c>
      <c r="AP750" s="26"/>
      <c r="AQ750" s="26"/>
      <c r="AR750" s="26"/>
      <c r="AS750" s="26"/>
      <c r="AT750" s="26"/>
      <c r="AU750" s="26"/>
      <c r="AV750" s="26"/>
      <c r="AW750" s="26"/>
      <c r="AX750" s="26"/>
      <c r="AY750" s="26"/>
      <c r="AZ750" s="26"/>
      <c r="BA750" s="26"/>
      <c r="BB750" s="26"/>
      <c r="BC750" s="26"/>
      <c r="BD750" s="26"/>
      <c r="BE750" s="26" t="s">
        <v>57</v>
      </c>
      <c r="BF750" s="26" t="s">
        <v>380</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381</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382</v>
      </c>
      <c r="AU751" s="26" t="s">
        <v>383</v>
      </c>
      <c r="AV751" s="26"/>
      <c r="AW751" s="26"/>
      <c r="AX751" s="26"/>
      <c r="AY751" s="26"/>
      <c r="AZ751" s="26"/>
      <c r="BA751" s="26"/>
      <c r="BB751" s="26"/>
      <c r="BC751" s="26"/>
      <c r="BD751" s="26"/>
      <c r="BE751" s="26"/>
      <c r="BF751" s="26" t="s">
        <v>384</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255</v>
      </c>
      <c r="W752" s="26">
        <f>BB771</f>
        <v>33</v>
      </c>
      <c r="X752" s="26"/>
      <c r="Y752" s="26"/>
      <c r="Z752" s="26" t="s">
        <v>385</v>
      </c>
      <c r="AA752" s="26" t="e">
        <f ca="1">G974*AA751</f>
        <v>#REF!</v>
      </c>
      <c r="AB752" s="26"/>
      <c r="AC752" s="26"/>
      <c r="AD752" s="26"/>
      <c r="AE752" s="26"/>
      <c r="AF752" s="26"/>
      <c r="AG752" s="26"/>
      <c r="AH752" s="26"/>
      <c r="AI752" s="26"/>
      <c r="AJ752" s="26">
        <f>ROUND((AF735-AJ751)/365.25,2)</f>
        <v>0.08</v>
      </c>
      <c r="AK752" s="26"/>
      <c r="AL752" s="26"/>
      <c r="AM752" s="26"/>
      <c r="AN752" s="26" t="s">
        <v>386</v>
      </c>
      <c r="AO752" s="26" t="s">
        <v>387</v>
      </c>
      <c r="AP752" s="26"/>
      <c r="AQ752" s="26"/>
      <c r="AR752" s="26"/>
      <c r="AS752" s="26" t="s">
        <v>388</v>
      </c>
      <c r="AT752" s="26"/>
      <c r="AU752" s="26" t="e">
        <f>E947</f>
        <v>#REF!</v>
      </c>
      <c r="AV752" s="26" t="s">
        <v>389</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390</v>
      </c>
      <c r="AA753" s="26"/>
      <c r="AB753" s="26"/>
      <c r="AC753" s="26"/>
      <c r="AD753" s="26" t="s">
        <v>391</v>
      </c>
      <c r="AE753" s="26" t="s">
        <v>392</v>
      </c>
      <c r="AF753" s="26"/>
      <c r="AG753" s="26"/>
      <c r="AH753" s="26"/>
      <c r="AI753" s="26"/>
      <c r="AJ753" s="26"/>
      <c r="AK753" s="26"/>
      <c r="AL753" s="26"/>
      <c r="AM753" s="26"/>
      <c r="AN753" s="26">
        <v>22</v>
      </c>
      <c r="AO753" s="26">
        <v>43</v>
      </c>
      <c r="AP753" s="26"/>
      <c r="AQ753" s="26"/>
      <c r="AR753" s="26"/>
      <c r="AS753" s="26" t="s">
        <v>57</v>
      </c>
      <c r="AT753" s="26">
        <v>12</v>
      </c>
      <c r="AU753" s="26" t="s">
        <v>393</v>
      </c>
      <c r="AV753" s="26" t="e">
        <f>12*AU752</f>
        <v>#REF!</v>
      </c>
      <c r="AW753" s="26"/>
      <c r="AX753" s="26"/>
      <c r="AY753" s="26"/>
      <c r="AZ753" s="26"/>
      <c r="BA753" s="26" t="s">
        <v>57</v>
      </c>
      <c r="BB753" s="26"/>
      <c r="BC753" s="26"/>
      <c r="BD753" s="26"/>
      <c r="BE753" s="26" t="s">
        <v>394</v>
      </c>
      <c r="BF753" s="26"/>
      <c r="BG753" s="26"/>
      <c r="BH753" s="26"/>
      <c r="BI753" s="26"/>
      <c r="BJ753" s="26"/>
      <c r="BK753" s="26"/>
      <c r="BL753" s="26" t="s">
        <v>395</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398</v>
      </c>
      <c r="W754" s="26">
        <v>1</v>
      </c>
      <c r="X754" s="26"/>
      <c r="Y754" s="26"/>
      <c r="Z754" s="26" t="e">
        <f>IF(#REF!&gt;0,#REF!/'[1]נתוני מס'!N16,0)</f>
        <v>#REF!</v>
      </c>
      <c r="AA754" s="26" t="s">
        <v>399</v>
      </c>
      <c r="AB754" s="26" t="s">
        <v>400</v>
      </c>
      <c r="AC754" s="26" t="s">
        <v>196</v>
      </c>
      <c r="AD754" s="26"/>
      <c r="AE754" s="26" t="e">
        <f>#REF!</f>
        <v>#REF!</v>
      </c>
      <c r="AF754" s="26"/>
      <c r="AG754" s="26"/>
      <c r="AH754" s="26"/>
      <c r="AI754" s="26"/>
      <c r="AJ754" s="26"/>
      <c r="AK754" s="26"/>
      <c r="AL754" s="26"/>
      <c r="AM754" s="26"/>
      <c r="AN754" s="26" t="s">
        <v>401</v>
      </c>
      <c r="AO754" s="26" t="s">
        <v>402</v>
      </c>
      <c r="AP754" s="26"/>
      <c r="AQ754" s="26"/>
      <c r="AR754" s="26"/>
      <c r="AS754" s="26" t="s">
        <v>403</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404</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405</v>
      </c>
      <c r="AB755" s="26" t="s">
        <v>406</v>
      </c>
      <c r="AC755" s="26" t="s">
        <v>69</v>
      </c>
      <c r="AD755" s="26"/>
      <c r="AE755" s="26"/>
      <c r="AF755" s="26" t="s">
        <v>407</v>
      </c>
      <c r="AG755" s="26">
        <f>IF(AF707=AC754,0.01%,0)</f>
        <v>0</v>
      </c>
      <c r="AH755" s="26"/>
      <c r="AI755" s="26"/>
      <c r="AJ755" s="26" t="s">
        <v>349</v>
      </c>
      <c r="AK755" s="26"/>
      <c r="AL755" s="26"/>
      <c r="AM755" s="26"/>
      <c r="AN755" s="26">
        <v>23</v>
      </c>
      <c r="AO755" s="26">
        <v>44</v>
      </c>
      <c r="AP755" s="26"/>
      <c r="AQ755" s="26"/>
      <c r="AR755" s="26"/>
      <c r="AS755" s="26"/>
      <c r="AT755" s="26"/>
      <c r="AU755" s="26" t="s">
        <v>408</v>
      </c>
      <c r="AV755" s="26" t="e">
        <f ca="1">BA758</f>
        <v>#REF!</v>
      </c>
      <c r="AW755" s="26"/>
      <c r="AX755" s="26" t="s">
        <v>409</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410</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411</v>
      </c>
      <c r="AO756" s="26" t="s">
        <v>412</v>
      </c>
      <c r="AP756" s="26"/>
      <c r="AQ756" s="26"/>
      <c r="AR756" s="26"/>
      <c r="AS756" s="26"/>
      <c r="AT756" s="26"/>
      <c r="AU756" s="26"/>
      <c r="AV756" s="26"/>
      <c r="AW756" s="26"/>
      <c r="AX756" s="26" t="s">
        <v>413</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57</v>
      </c>
      <c r="R757" s="26"/>
      <c r="S757" s="26" t="e">
        <f>(1-#REF!/#REF!)*#REF!</f>
        <v>#REF!</v>
      </c>
      <c r="T757" s="26"/>
      <c r="U757" s="26" t="s">
        <v>415</v>
      </c>
      <c r="V757" s="26"/>
      <c r="W757" s="26"/>
      <c r="X757" s="26"/>
      <c r="Y757" s="26"/>
      <c r="Z757" s="26"/>
      <c r="AA757" s="26" t="s">
        <v>416</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384</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417</v>
      </c>
      <c r="W758" s="26" t="e">
        <f ca="1">E947+(E963+E964+E965)/12</f>
        <v>#REF!</v>
      </c>
      <c r="X758" s="26"/>
      <c r="Y758" s="26"/>
      <c r="Z758" s="26"/>
      <c r="AA758" s="26"/>
      <c r="AB758" s="26" t="s">
        <v>57</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57</v>
      </c>
      <c r="R759" s="26"/>
      <c r="S759" s="26" t="e">
        <f>S758*2</f>
        <v>#REF!</v>
      </c>
      <c r="T759" s="26"/>
      <c r="U759" s="26"/>
      <c r="V759" s="26" t="s">
        <v>419</v>
      </c>
      <c r="W759" s="26" t="e">
        <f ca="1">E947+(E964+E965)/12</f>
        <v>#REF!</v>
      </c>
      <c r="X759" s="26"/>
      <c r="Y759" s="26"/>
      <c r="Z759" s="26"/>
      <c r="AA759" s="26"/>
      <c r="AB759" s="26" t="s">
        <v>57</v>
      </c>
      <c r="AC759" s="26"/>
      <c r="AD759" s="26"/>
      <c r="AE759" s="26"/>
      <c r="AF759" s="26"/>
      <c r="AG759" s="26"/>
      <c r="AH759" s="26"/>
      <c r="AI759" s="26"/>
      <c r="AJ759" s="26"/>
      <c r="AK759" s="26"/>
      <c r="AL759" s="26"/>
      <c r="AM759" s="26"/>
      <c r="AN759" s="26" t="s">
        <v>420</v>
      </c>
      <c r="AO759" s="26" t="s">
        <v>421</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422</v>
      </c>
      <c r="W760" s="26" t="e">
        <f>E947</f>
        <v>#REF!</v>
      </c>
      <c r="X760" s="26"/>
      <c r="Y760" s="26"/>
      <c r="Z760" s="26"/>
      <c r="AA760" s="26"/>
      <c r="AB760" s="26" t="s">
        <v>57</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57</v>
      </c>
      <c r="W761" s="26"/>
      <c r="X761" s="26"/>
      <c r="Y761" s="26"/>
      <c r="Z761" s="26"/>
      <c r="AA761" s="26"/>
      <c r="AB761" s="26" t="s">
        <v>57</v>
      </c>
      <c r="AC761" s="26"/>
      <c r="AD761" s="26"/>
      <c r="AE761" s="26"/>
      <c r="AF761" s="26"/>
      <c r="AG761" s="26"/>
      <c r="AH761" s="26"/>
      <c r="AI761" s="26"/>
      <c r="AJ761" s="26"/>
      <c r="AK761" s="26"/>
      <c r="AL761" s="26"/>
      <c r="AM761" s="26"/>
      <c r="AN761" s="26" t="s">
        <v>423</v>
      </c>
      <c r="AO761" s="26" t="s">
        <v>424</v>
      </c>
      <c r="AP761" s="26"/>
      <c r="AQ761" s="26"/>
      <c r="AR761" s="26"/>
      <c r="AS761" s="26"/>
      <c r="AT761" s="26"/>
      <c r="AU761" s="26"/>
      <c r="AV761" s="26"/>
      <c r="AW761" s="26"/>
      <c r="AX761" s="26"/>
      <c r="AY761" s="26"/>
      <c r="AZ761" s="26" t="s">
        <v>425</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428</v>
      </c>
      <c r="W763" s="26"/>
      <c r="X763" s="26" t="s">
        <v>422</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249</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429</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269</v>
      </c>
      <c r="O770" s="26"/>
      <c r="P770" s="26"/>
      <c r="Q770" s="26"/>
      <c r="R770" s="26" t="s">
        <v>430</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431</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277</v>
      </c>
      <c r="O771" s="26"/>
      <c r="P771" s="26"/>
      <c r="Q771" s="26"/>
      <c r="R771" s="26" t="s">
        <v>57</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432</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273</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573</v>
      </c>
      <c r="I775" s="26">
        <f ca="1">TODAY()</f>
        <v>45282</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434</v>
      </c>
      <c r="BB775" s="26" t="s">
        <v>82</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574</v>
      </c>
      <c r="I776" s="26" t="s">
        <v>575</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377</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67</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435</v>
      </c>
      <c r="BB777" s="26" t="s">
        <v>113</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576</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436</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77</v>
      </c>
      <c r="L779" s="26">
        <f>VLOOKUP(INT(G946),ofek4,BB770+2,FALSE)*(1+AB746/100)*T719*T705</f>
        <v>14401.146916299316</v>
      </c>
      <c r="M779" s="26"/>
      <c r="N779" s="26"/>
      <c r="O779" s="26"/>
      <c r="P779" s="26"/>
      <c r="Q779" s="26"/>
      <c r="R779" s="26" t="s">
        <v>405</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437</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439</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444</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445</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92</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249</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100</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374</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85</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447</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449</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57</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275</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452</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57</v>
      </c>
      <c r="AG800" s="26"/>
      <c r="AH800" s="26"/>
      <c r="AI800" s="26"/>
      <c r="AJ800" s="26"/>
      <c r="AK800" s="26"/>
      <c r="AL800" s="26"/>
      <c r="AM800" s="26"/>
      <c r="AN800" s="26"/>
      <c r="AO800" s="26"/>
      <c r="AP800" s="26"/>
      <c r="AQ800" s="26"/>
      <c r="AR800" s="26"/>
      <c r="AS800" s="26"/>
      <c r="AT800" s="26" t="s">
        <v>453</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454</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455</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57</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456</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457</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458</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57</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459</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460</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577</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461</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57</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462</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283</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85</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57</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57</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463</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202</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57</v>
      </c>
      <c r="W813" s="26" t="s">
        <v>57</v>
      </c>
      <c r="X813" s="26" t="s">
        <v>110</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117</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464</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450</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126</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148</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448</v>
      </c>
      <c r="R820" s="26"/>
      <c r="S820" s="26"/>
      <c r="T820" s="26"/>
      <c r="U820" s="26"/>
      <c r="V820" s="26"/>
      <c r="W820" s="26"/>
      <c r="X820" s="26" t="s">
        <v>63</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57</v>
      </c>
      <c r="N823" s="26" t="s">
        <v>57</v>
      </c>
      <c r="O823" s="26"/>
      <c r="P823" s="26"/>
      <c r="Q823" s="26"/>
      <c r="R823" s="26"/>
      <c r="S823" s="26"/>
      <c r="T823" s="26"/>
      <c r="U823" s="26"/>
      <c r="V823" s="26"/>
      <c r="W823" s="26"/>
      <c r="X823" s="26" t="s">
        <v>99</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57</v>
      </c>
      <c r="L824" s="26"/>
      <c r="M824" s="26" t="s">
        <v>57</v>
      </c>
      <c r="N824" s="26" t="s">
        <v>57</v>
      </c>
      <c r="O824" s="26"/>
      <c r="P824" s="26"/>
      <c r="Q824" s="26"/>
      <c r="R824" s="26"/>
      <c r="S824" s="26"/>
      <c r="T824" s="26"/>
      <c r="U824" s="26"/>
      <c r="V824" s="26"/>
      <c r="W824" s="26"/>
      <c r="X824" s="26" t="s">
        <v>208</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57</v>
      </c>
      <c r="N825" s="26" t="s">
        <v>57</v>
      </c>
      <c r="O825" s="26"/>
      <c r="P825" s="26"/>
      <c r="Q825" s="26"/>
      <c r="R825" s="26"/>
      <c r="S825" s="26"/>
      <c r="T825" s="26"/>
      <c r="U825" s="26"/>
      <c r="V825" s="26"/>
      <c r="W825" s="26"/>
      <c r="X825" s="26" t="s">
        <v>226</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57</v>
      </c>
      <c r="N826" s="26" t="s">
        <v>57</v>
      </c>
      <c r="O826" s="26"/>
      <c r="P826" s="26"/>
      <c r="Q826" s="26"/>
      <c r="R826" s="26"/>
      <c r="S826" s="26"/>
      <c r="T826" s="26"/>
      <c r="U826" s="26"/>
      <c r="V826" s="26"/>
      <c r="W826" s="26"/>
      <c r="X826" s="26" t="s">
        <v>236</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57</v>
      </c>
      <c r="N827" s="26" t="s">
        <v>57</v>
      </c>
      <c r="O827" s="26"/>
      <c r="P827" s="26"/>
      <c r="Q827" s="26"/>
      <c r="R827" s="26"/>
      <c r="S827" s="26"/>
      <c r="T827" s="26"/>
      <c r="U827" s="26"/>
      <c r="V827" s="26"/>
      <c r="W827" s="26"/>
      <c r="X827" s="26" t="s">
        <v>248</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57</v>
      </c>
      <c r="N828" s="26" t="s">
        <v>57</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57</v>
      </c>
      <c r="N829" s="26" t="s">
        <v>57</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57</v>
      </c>
      <c r="L830" s="26"/>
      <c r="M830" s="26" t="s">
        <v>57</v>
      </c>
      <c r="N830" s="26" t="s">
        <v>57</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57</v>
      </c>
      <c r="N831" s="26" t="s">
        <v>57</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57</v>
      </c>
      <c r="N832" s="26" t="s">
        <v>57</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57</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467</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57</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57</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494</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57</v>
      </c>
      <c r="I869" s="26"/>
      <c r="J869" s="26"/>
      <c r="K869" s="26" t="s">
        <v>57</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57</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57</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57</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497</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578</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57</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-0.30936000000000019</v>
      </c>
      <c r="L887" s="26" t="s">
        <v>465</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466</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468</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469</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470</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471</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57</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57</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533</v>
      </c>
      <c r="C898" s="69" t="e">
        <f>#REF!</f>
        <v>#REF!</v>
      </c>
      <c r="G898" s="26"/>
      <c r="H898" s="26"/>
      <c r="I898" s="26" t="s">
        <v>57</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512</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529</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531</v>
      </c>
      <c r="E901" s="73" t="s">
        <v>196</v>
      </c>
      <c r="G901" s="26" t="s">
        <v>491</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517</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519</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521</v>
      </c>
      <c r="F904" s="79" t="e">
        <f>#REF!</f>
        <v>#REF!</v>
      </c>
      <c r="G904" s="26" t="s">
        <v>493</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539</v>
      </c>
      <c r="C905" s="81" t="s">
        <v>540</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541</v>
      </c>
      <c r="D906" s="85" t="s">
        <v>57</v>
      </c>
      <c r="E906" s="86" t="e">
        <f>#REF!/#REF!*E911</f>
        <v>#REF!</v>
      </c>
      <c r="F906" s="87" t="s">
        <v>524</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542</v>
      </c>
      <c r="D907" s="90" t="s">
        <v>57</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544</v>
      </c>
      <c r="D908" s="94" t="str">
        <f>E107&amp;"   :   מספר חודשים"</f>
        <v xml:space="preserve">   :   מספר חודשים</v>
      </c>
      <c r="E908" s="91" t="e">
        <f>#REF!/#REF!*E911</f>
        <v>#REF!</v>
      </c>
      <c r="F908" s="95" t="s">
        <v>528</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545</v>
      </c>
      <c r="D909" s="94" t="e">
        <f>IF(#REF!=0,#REF!,INT(#REF!)&amp;" : ימי מחלה  לפדיון")</f>
        <v>#REF!</v>
      </c>
      <c r="E909" s="91" t="e">
        <f>#REF!/#REF!*E911</f>
        <v>#REF!</v>
      </c>
      <c r="F909" s="96" t="s">
        <v>530</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546</v>
      </c>
      <c r="D910" s="99" t="e">
        <f>IF(#REF!=0,#REF!,TRUNC(#REF!,2)&amp; "  :מספר משכורות")</f>
        <v>#REF!</v>
      </c>
      <c r="E910" s="100" t="e">
        <f>#REF!/#REF!*E911</f>
        <v>#REF!</v>
      </c>
      <c r="F910" s="101" t="s">
        <v>532</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547</v>
      </c>
      <c r="D911" s="104" t="s">
        <v>548</v>
      </c>
      <c r="E911" s="105" t="e">
        <f>#REF!</f>
        <v>#REF!</v>
      </c>
      <c r="F911" s="67" t="s">
        <v>534</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549</v>
      </c>
      <c r="D912" s="107"/>
      <c r="E912" s="108" t="e">
        <f>E911-#REF!</f>
        <v>#REF!</v>
      </c>
      <c r="F912" s="109" t="s">
        <v>535</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536</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550</v>
      </c>
      <c r="D914" s="116" t="e">
        <f>#REF!&amp;" : ימי חופש  לפדיון"</f>
        <v>#REF!</v>
      </c>
      <c r="E914" s="114" t="e">
        <f>#REF!-BF740</f>
        <v>#REF!</v>
      </c>
      <c r="F914" s="117" t="s">
        <v>537</v>
      </c>
      <c r="G914" s="26" t="s">
        <v>500</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551</v>
      </c>
      <c r="D915" s="119"/>
      <c r="E915" s="120"/>
      <c r="F915" s="120" t="e">
        <f>IF(#REF!=0,0,#REF!-#REF!)</f>
        <v>#REF!</v>
      </c>
      <c r="G915" s="26" t="s">
        <v>501</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553</v>
      </c>
      <c r="D916" s="122"/>
      <c r="E916" s="123"/>
      <c r="F916" s="123"/>
      <c r="G916" s="26" t="s">
        <v>502</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554</v>
      </c>
      <c r="C917" s="125"/>
      <c r="D917" s="126"/>
      <c r="E917" s="127" t="e">
        <f>#REF!</f>
        <v>#REF!</v>
      </c>
      <c r="F917" s="127" t="s">
        <v>538</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555</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557</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57</v>
      </c>
      <c r="C920" s="130" t="s">
        <v>558</v>
      </c>
      <c r="D920" s="107"/>
      <c r="E920" s="131"/>
      <c r="F920" s="133" t="s">
        <v>543</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9" t="s">
        <v>57</v>
      </c>
      <c r="G922" s="26" t="s">
        <v>57</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579</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511</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543</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552</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57</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9" t="s">
        <v>57</v>
      </c>
      <c r="G936" s="26"/>
      <c r="H936" s="26" t="s">
        <v>580</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9" t="s">
        <v>57</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559</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57</v>
      </c>
      <c r="C946" s="142" t="s">
        <v>561</v>
      </c>
      <c r="D946" s="143" t="e">
        <f>D951</f>
        <v>#REF!</v>
      </c>
      <c r="E946" s="144" t="e">
        <f>SUM(E929:E945)</f>
        <v>#REF!</v>
      </c>
      <c r="F946" s="145" t="s">
        <v>560</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9" t="s">
        <v>57</v>
      </c>
      <c r="C947" s="146" t="s">
        <v>581</v>
      </c>
      <c r="D947" s="147"/>
      <c r="E947" s="148" t="e">
        <f>(E946*G944+D946*G945)/G946</f>
        <v>#REF!</v>
      </c>
      <c r="F947" s="149" t="s">
        <v>582</v>
      </c>
      <c r="G947" s="26" t="s">
        <v>543</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543</v>
      </c>
      <c r="G948" s="26" t="s">
        <v>57</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9"/>
      <c r="C949" s="9" t="s">
        <v>583</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9" t="s">
        <v>584</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9" t="s">
        <v>585</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57</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57</v>
      </c>
      <c r="C954" s="65" t="s">
        <v>57</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57</v>
      </c>
      <c r="C955" s="65" t="s">
        <v>57</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67</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66</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586</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587</v>
      </c>
      <c r="E960" s="155"/>
      <c r="F960" s="156" t="s">
        <v>588</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589</v>
      </c>
      <c r="E961" s="158"/>
      <c r="F961" s="159" t="s">
        <v>590</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591</v>
      </c>
      <c r="E962" s="161" t="e">
        <f>E947</f>
        <v>#REF!</v>
      </c>
      <c r="F962" s="162" t="s">
        <v>592</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593</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92</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100</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594</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57</v>
      </c>
      <c r="F967" s="172" t="s">
        <v>595</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596</v>
      </c>
      <c r="F968" s="174" t="s">
        <v>323</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597</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598</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599</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600</v>
      </c>
      <c r="F972" s="177" t="s">
        <v>601</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57</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222</v>
      </c>
      <c r="F973" s="174" t="s">
        <v>602</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603</v>
      </c>
      <c r="E974" s="180" t="e">
        <f ca="1">BI737</f>
        <v>#REF!</v>
      </c>
      <c r="F974" s="181" t="s">
        <v>380</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604</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543</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D4" sqref="D4"/>
    </sheetView>
  </sheetViews>
  <sheetFormatPr defaultRowHeight="14.25" x14ac:dyDescent="0.2"/>
  <cols>
    <col min="1" max="1" width="0.375" customWidth="1"/>
    <col min="2" max="2" width="17.25" customWidth="1"/>
    <col min="3" max="3" width="13.375" customWidth="1"/>
    <col min="4" max="4" width="9.625" style="9" customWidth="1"/>
    <col min="5" max="5" width="13.375" style="9" customWidth="1"/>
    <col min="6" max="6" width="8.625" style="9" customWidth="1"/>
    <col min="7" max="7" width="15.625" style="9" customWidth="1"/>
    <col min="8" max="8" width="16.125" style="9" customWidth="1"/>
    <col min="9" max="9" width="12.5" style="9" customWidth="1"/>
    <col min="10" max="10" width="12.125" style="9"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50</v>
      </c>
      <c r="C1" s="23"/>
      <c r="D1" s="24"/>
      <c r="E1" s="24"/>
      <c r="F1" s="25"/>
      <c r="G1" s="26"/>
      <c r="H1" s="26" t="s">
        <v>51</v>
      </c>
      <c r="I1" s="26"/>
      <c r="J1" s="26"/>
      <c r="K1" s="26"/>
      <c r="L1" s="26"/>
      <c r="M1" s="26"/>
      <c r="N1" s="26"/>
      <c r="O1" s="26"/>
      <c r="P1" s="26">
        <f>N82</f>
        <v>6300.0034374999996</v>
      </c>
      <c r="Q1" s="26" t="e">
        <f>VLOOKUP($I$32,K157:L173,2)</f>
        <v>#N/A</v>
      </c>
      <c r="R1" s="26" t="s">
        <v>52</v>
      </c>
      <c r="S1" s="26">
        <f>ROUND((J4-AQ17)/365.25,2)</f>
        <v>-110.72</v>
      </c>
      <c r="T1" s="26"/>
      <c r="U1" s="26"/>
      <c r="V1" s="26"/>
      <c r="W1" s="26" t="s">
        <v>53</v>
      </c>
      <c r="X1" s="26">
        <f>IF(BG60-INT(BG60)=0.5,1,0)</f>
        <v>0</v>
      </c>
      <c r="Y1" s="26">
        <f>IF(X1=0,0,IF(BG60&lt;=7,3.75,4.25))</f>
        <v>0</v>
      </c>
      <c r="Z1" s="26"/>
      <c r="AA1" s="26" t="s">
        <v>54</v>
      </c>
      <c r="AB1" s="26"/>
      <c r="AC1" s="26"/>
      <c r="AD1" s="26"/>
      <c r="AE1" s="26"/>
      <c r="AF1" s="26"/>
      <c r="AG1" s="26"/>
      <c r="AH1" s="26"/>
      <c r="AI1" s="26"/>
      <c r="AJ1" s="26"/>
      <c r="AK1" s="26"/>
      <c r="AL1" s="26"/>
      <c r="AM1" s="26"/>
      <c r="AN1" s="26" t="s">
        <v>55</v>
      </c>
      <c r="AO1" s="26"/>
      <c r="AP1" s="26"/>
      <c r="AQ1" s="26"/>
      <c r="AR1" s="26"/>
      <c r="AS1" s="26"/>
      <c r="AT1" s="26"/>
      <c r="AU1" s="26"/>
      <c r="AV1" s="26"/>
      <c r="AW1" s="26"/>
      <c r="AX1" s="26"/>
      <c r="AY1" s="26"/>
      <c r="AZ1" s="26"/>
      <c r="BA1" s="26" t="s">
        <v>56</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57</v>
      </c>
      <c r="C2" s="28" t="s">
        <v>58</v>
      </c>
      <c r="D2" s="29"/>
      <c r="E2" s="29"/>
      <c r="F2" s="30" t="s">
        <v>59</v>
      </c>
      <c r="G2" s="26"/>
      <c r="H2" s="26"/>
      <c r="I2" s="26"/>
      <c r="J2" s="26"/>
      <c r="K2" s="26"/>
      <c r="L2" s="26"/>
      <c r="M2" s="26" t="s">
        <v>60</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61</v>
      </c>
      <c r="U2" s="26" t="s">
        <v>27</v>
      </c>
      <c r="V2" s="26"/>
      <c r="W2" s="26" t="s">
        <v>62</v>
      </c>
      <c r="X2" s="26">
        <v>0.03</v>
      </c>
      <c r="Y2" s="26">
        <f>1+(Y1/100)</f>
        <v>1</v>
      </c>
      <c r="Z2" s="26"/>
      <c r="AA2" s="26">
        <v>0</v>
      </c>
      <c r="AB2" s="26">
        <v>0</v>
      </c>
      <c r="AC2" s="26"/>
      <c r="AD2" s="26" t="s">
        <v>63</v>
      </c>
      <c r="AE2" s="26"/>
      <c r="AF2" s="26"/>
      <c r="AG2" s="26"/>
      <c r="AH2" s="26"/>
      <c r="AI2" s="26"/>
      <c r="AJ2" s="26"/>
      <c r="AK2" s="26"/>
      <c r="AL2" s="26"/>
      <c r="AM2" s="26"/>
      <c r="AN2" s="26" t="s">
        <v>64</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65</v>
      </c>
      <c r="N3" s="26">
        <f>J32</f>
        <v>0</v>
      </c>
      <c r="O3" s="26"/>
      <c r="P3" s="26" t="s">
        <v>66</v>
      </c>
      <c r="Q3" s="26" t="s">
        <v>67</v>
      </c>
      <c r="R3" s="26"/>
      <c r="S3" s="26"/>
      <c r="T3" s="26" t="s">
        <v>68</v>
      </c>
      <c r="U3" s="26" t="s">
        <v>69</v>
      </c>
      <c r="V3" s="26"/>
      <c r="W3" s="26" t="s">
        <v>70</v>
      </c>
      <c r="X3" s="26">
        <v>4.8099999999999997E-2</v>
      </c>
      <c r="Y3" s="26"/>
      <c r="Z3" s="26"/>
      <c r="AA3" s="26">
        <v>1</v>
      </c>
      <c r="AB3" s="26">
        <v>0.47499999999999998</v>
      </c>
      <c r="AC3" s="26" t="s">
        <v>57</v>
      </c>
      <c r="AD3" s="26">
        <v>0.09</v>
      </c>
      <c r="AE3" s="26" t="s">
        <v>71</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608</v>
      </c>
      <c r="C4" s="32"/>
      <c r="D4" s="207" t="s">
        <v>72</v>
      </c>
      <c r="E4" s="207"/>
      <c r="F4" s="207"/>
      <c r="G4" s="207"/>
      <c r="H4" s="26"/>
      <c r="I4" s="26"/>
      <c r="J4" s="26"/>
      <c r="K4" s="26"/>
      <c r="L4" s="26"/>
      <c r="M4" s="26"/>
      <c r="N4" s="26"/>
      <c r="O4" s="26"/>
      <c r="P4" s="26">
        <f>VLOOKUP(INT(1),horaa2,$AJ$8+2,FALSE)*$AB$44</f>
        <v>2967.49</v>
      </c>
      <c r="Q4" s="26"/>
      <c r="R4" s="26"/>
      <c r="S4" s="26"/>
      <c r="T4" s="26" t="s">
        <v>73</v>
      </c>
      <c r="U4" s="26" t="s">
        <v>74</v>
      </c>
      <c r="V4" s="26"/>
      <c r="W4" s="26"/>
      <c r="X4" s="26"/>
      <c r="Y4" s="26"/>
      <c r="Z4" s="26"/>
      <c r="AA4" s="26">
        <v>2</v>
      </c>
      <c r="AB4" s="26">
        <v>0.495</v>
      </c>
      <c r="AC4" s="26" t="s">
        <v>57</v>
      </c>
      <c r="AD4" s="26">
        <v>8.2500000000000004E-2</v>
      </c>
      <c r="AE4" s="26" t="s">
        <v>75</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76</v>
      </c>
      <c r="N5" s="26"/>
      <c r="O5" s="26"/>
      <c r="P5" s="26" t="s">
        <v>77</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57</v>
      </c>
      <c r="AD5" s="26">
        <v>7.4999999999999997E-2</v>
      </c>
      <c r="AE5" s="26" t="s">
        <v>78</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79</v>
      </c>
      <c r="E6" s="37"/>
      <c r="F6" s="40"/>
      <c r="G6" s="26"/>
      <c r="H6" s="26"/>
      <c r="I6" s="26"/>
      <c r="J6" s="26"/>
      <c r="K6" s="26"/>
      <c r="L6" s="26"/>
      <c r="M6" s="26"/>
      <c r="N6" s="26" t="s">
        <v>80</v>
      </c>
      <c r="O6" s="26" t="s">
        <v>81</v>
      </c>
      <c r="P6" s="26">
        <f>P4*C9</f>
        <v>29.674899999999997</v>
      </c>
      <c r="Q6" s="26"/>
      <c r="R6" s="26"/>
      <c r="S6" s="26"/>
      <c r="T6" s="26"/>
      <c r="U6" s="26"/>
      <c r="V6" s="26"/>
      <c r="W6" s="26"/>
      <c r="X6" s="26" t="s">
        <v>82</v>
      </c>
      <c r="Y6" s="26"/>
      <c r="Z6" s="26"/>
      <c r="AA6" s="26">
        <v>4</v>
      </c>
      <c r="AB6" s="26">
        <v>0.53</v>
      </c>
      <c r="AC6" s="26" t="s">
        <v>57</v>
      </c>
      <c r="AD6" s="26">
        <v>6.7500000000000004E-2</v>
      </c>
      <c r="AE6" s="26" t="s">
        <v>83</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84</v>
      </c>
      <c r="E7" s="38"/>
      <c r="F7" s="26"/>
      <c r="G7" s="26"/>
      <c r="H7" s="26"/>
      <c r="I7" s="26"/>
      <c r="J7" s="26"/>
      <c r="K7" s="26"/>
      <c r="L7" s="26"/>
      <c r="M7" s="26" t="s">
        <v>85</v>
      </c>
      <c r="N7" s="26">
        <f>I32</f>
        <v>0</v>
      </c>
      <c r="O7" s="26">
        <f>N7*C9</f>
        <v>0</v>
      </c>
      <c r="P7" s="26" t="s">
        <v>85</v>
      </c>
      <c r="Q7" s="26" t="e">
        <f>IF(BG61+BG62+H153&gt;=AO40,'[1]נתוני מס'!I16*Q26,0)</f>
        <v>#REF!</v>
      </c>
      <c r="R7" s="26"/>
      <c r="S7" s="26" t="s">
        <v>86</v>
      </c>
      <c r="T7" s="26">
        <f>ROUND((J4-AQ20)/365.25,2)</f>
        <v>-58.21</v>
      </c>
      <c r="U7" s="26" t="s">
        <v>87</v>
      </c>
      <c r="V7" s="26">
        <f>ROUND((AK25-AQ17)/365.25,2)</f>
        <v>0.36</v>
      </c>
      <c r="W7" s="26"/>
      <c r="X7" s="26" t="s">
        <v>6</v>
      </c>
      <c r="Y7" s="26"/>
      <c r="Z7" s="26"/>
      <c r="AA7" s="26">
        <v>5</v>
      </c>
      <c r="AB7" s="26">
        <v>0.54500000000000004</v>
      </c>
      <c r="AC7" s="26" t="s">
        <v>57</v>
      </c>
      <c r="AD7" s="26">
        <v>0.06</v>
      </c>
      <c r="AE7" s="26" t="s">
        <v>88</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89</v>
      </c>
      <c r="C8" s="42">
        <v>1</v>
      </c>
      <c r="D8" s="36" t="s">
        <v>90</v>
      </c>
      <c r="E8" s="37"/>
      <c r="F8" s="26"/>
      <c r="G8" s="26"/>
      <c r="H8" s="26"/>
      <c r="I8" s="26"/>
      <c r="J8" s="26"/>
      <c r="K8" s="26"/>
      <c r="L8" s="26"/>
      <c r="M8" s="26" t="s">
        <v>91</v>
      </c>
      <c r="N8" s="26">
        <f>IF(J29*N7&gt;0,J29*N7,0)</f>
        <v>0</v>
      </c>
      <c r="O8" s="26"/>
      <c r="P8" s="26" t="s">
        <v>92</v>
      </c>
      <c r="Q8" s="26">
        <f>IF(BG61&lt;26,'[1]נתוני מס'!I18*BC27,'[1]נתוני מס'!I19*BC27)</f>
        <v>2014</v>
      </c>
      <c r="R8" s="26"/>
      <c r="S8" s="26" t="s">
        <v>93</v>
      </c>
      <c r="T8" s="26" t="e">
        <f>IF(BG59=#REF!,59-T7,60-T7)</f>
        <v>#REF!</v>
      </c>
      <c r="U8" s="26" t="s">
        <v>94</v>
      </c>
      <c r="V8" s="26" t="e">
        <f>V7+T8</f>
        <v>#REF!</v>
      </c>
      <c r="W8" s="26"/>
      <c r="X8" s="26" t="s">
        <v>95</v>
      </c>
      <c r="Y8" s="26"/>
      <c r="Z8" s="26"/>
      <c r="AA8" s="26">
        <v>6</v>
      </c>
      <c r="AB8" s="26">
        <v>0.56499999999999995</v>
      </c>
      <c r="AC8" s="26" t="s">
        <v>57</v>
      </c>
      <c r="AD8" s="26">
        <v>5.2499999999999998E-2</v>
      </c>
      <c r="AE8" s="26" t="s">
        <v>96</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97</v>
      </c>
      <c r="C9" s="44">
        <v>0.01</v>
      </c>
      <c r="D9" s="210" t="s">
        <v>98</v>
      </c>
      <c r="E9" s="211"/>
      <c r="F9" s="26"/>
      <c r="G9" s="26"/>
      <c r="H9" s="26"/>
      <c r="I9" s="26"/>
      <c r="J9" s="26"/>
      <c r="K9" s="26"/>
      <c r="L9" s="26"/>
      <c r="M9" s="26" t="s">
        <v>99</v>
      </c>
      <c r="N9" s="26">
        <v>593</v>
      </c>
      <c r="O9" s="26"/>
      <c r="P9" s="26" t="s">
        <v>100</v>
      </c>
      <c r="Q9" s="26" t="e">
        <f>#REF!</f>
        <v>#REF!</v>
      </c>
      <c r="R9" s="26"/>
      <c r="S9" s="26" t="s">
        <v>101</v>
      </c>
      <c r="T9" s="26" t="e">
        <f>IF(AI28+T8&gt;36,36,AI28+T8)</f>
        <v>#REF!</v>
      </c>
      <c r="U9" s="26" t="s">
        <v>102</v>
      </c>
      <c r="V9" s="26">
        <f>F204</f>
        <v>6</v>
      </c>
      <c r="W9" s="26" t="s">
        <v>103</v>
      </c>
      <c r="X9" s="26" t="s">
        <v>104</v>
      </c>
      <c r="Y9" s="26"/>
      <c r="Z9" s="26"/>
      <c r="AA9" s="26">
        <v>7</v>
      </c>
      <c r="AB9" s="26">
        <v>0.58499999999999996</v>
      </c>
      <c r="AC9" s="26" t="s">
        <v>57</v>
      </c>
      <c r="AD9" s="26">
        <v>4.4999999999999998E-2</v>
      </c>
      <c r="AE9" s="26" t="s">
        <v>105</v>
      </c>
      <c r="AF9" s="26"/>
      <c r="AG9" s="26"/>
      <c r="AH9" s="26"/>
      <c r="AI9" s="26"/>
      <c r="AJ9" s="26"/>
      <c r="AK9" s="26"/>
      <c r="AL9" s="26"/>
      <c r="AM9" s="26"/>
      <c r="AN9" s="26">
        <v>4</v>
      </c>
      <c r="AO9" s="26" t="s">
        <v>57</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106</v>
      </c>
      <c r="DB9" s="26" t="s">
        <v>107</v>
      </c>
      <c r="DC9" s="26"/>
      <c r="DD9" s="26"/>
      <c r="DE9" s="26" t="s">
        <v>106</v>
      </c>
      <c r="DF9" s="26" t="s">
        <v>107</v>
      </c>
      <c r="DG9" s="26"/>
      <c r="DH9" s="26"/>
      <c r="DI9" s="26"/>
      <c r="DJ9" s="26"/>
      <c r="DK9" s="26"/>
      <c r="DL9" s="26"/>
      <c r="DM9" s="26"/>
      <c r="DN9" s="26"/>
      <c r="DO9" s="26"/>
      <c r="DP9" s="26"/>
      <c r="DQ9" s="26"/>
      <c r="DR9" s="26"/>
      <c r="DS9" s="26"/>
      <c r="DT9" s="26"/>
    </row>
    <row r="10" spans="1:124" ht="15.75" customHeight="1" x14ac:dyDescent="0.25">
      <c r="B10" s="41" t="s">
        <v>108</v>
      </c>
      <c r="C10" s="188" t="e">
        <f>F14</f>
        <v>#N/A</v>
      </c>
      <c r="D10" s="45" t="s">
        <v>109</v>
      </c>
      <c r="E10" s="38"/>
      <c r="F10" s="26"/>
      <c r="G10" s="187" t="s">
        <v>605</v>
      </c>
      <c r="H10" s="26"/>
      <c r="I10" s="26"/>
      <c r="J10" s="26"/>
      <c r="K10" s="26"/>
      <c r="L10" s="26"/>
      <c r="M10" s="26" t="s">
        <v>6</v>
      </c>
      <c r="N10" s="26">
        <f>N7*C14</f>
        <v>0</v>
      </c>
      <c r="O10" s="26"/>
      <c r="P10" s="26" t="s">
        <v>85</v>
      </c>
      <c r="Q10" s="26" t="e">
        <f>G201</f>
        <v>#REF!</v>
      </c>
      <c r="R10" s="26">
        <f>VLOOKUP(INT(AB42),horaa2,AJ17+2,FALSE)*(1)*BC27</f>
        <v>6975.17</v>
      </c>
      <c r="S10" s="26" t="s">
        <v>111</v>
      </c>
      <c r="T10" s="26" t="e">
        <f>VLOOKUP(INT(T9),ofek4,V9+2,FALSE)*(1+AG36/100)*BC27*Y16*Y2</f>
        <v>#REF!</v>
      </c>
      <c r="U10" s="26" t="e">
        <f>VLOOKUP(INT(T9),ofek4,V9+2,FALSE)*(1+AG36/100)*BC27*Y16*Y2</f>
        <v>#REF!</v>
      </c>
      <c r="V10" s="26"/>
      <c r="W10" s="26"/>
      <c r="X10" s="26" t="s">
        <v>112</v>
      </c>
      <c r="Y10" s="26"/>
      <c r="Z10" s="26"/>
      <c r="AA10" s="26">
        <v>8</v>
      </c>
      <c r="AB10" s="26">
        <v>0.6</v>
      </c>
      <c r="AC10" s="26"/>
      <c r="AD10" s="26">
        <v>0</v>
      </c>
      <c r="AE10" s="26" t="s">
        <v>113</v>
      </c>
      <c r="AF10" s="26"/>
      <c r="AG10" s="26"/>
      <c r="AH10" s="26"/>
      <c r="AI10" s="26"/>
      <c r="AJ10" s="26"/>
      <c r="AK10" s="26"/>
      <c r="AL10" s="26"/>
      <c r="AM10" s="26"/>
      <c r="AN10" s="26">
        <v>4.5</v>
      </c>
      <c r="AO10" s="26" t="s">
        <v>57</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114</v>
      </c>
      <c r="CX10" s="26"/>
      <c r="CY10" s="26"/>
      <c r="CZ10" s="26"/>
      <c r="DA10" s="26"/>
      <c r="DB10" s="26"/>
      <c r="DC10" s="26"/>
      <c r="DD10" s="26"/>
      <c r="DE10" s="26"/>
      <c r="DF10" s="26"/>
      <c r="DG10" s="26"/>
      <c r="DH10" s="26"/>
      <c r="DI10" s="26"/>
      <c r="DJ10" s="26"/>
      <c r="DK10" s="26" t="s">
        <v>115</v>
      </c>
      <c r="DL10" s="26"/>
      <c r="DM10" s="26"/>
      <c r="DN10" s="26"/>
      <c r="DO10" s="26"/>
      <c r="DP10" s="26"/>
      <c r="DQ10" s="26"/>
      <c r="DR10" s="26"/>
      <c r="DS10" s="26"/>
      <c r="DT10" s="26"/>
    </row>
    <row r="11" spans="1:124" ht="15" x14ac:dyDescent="0.25">
      <c r="B11" s="46" t="s">
        <v>32</v>
      </c>
      <c r="C11" s="47">
        <v>0</v>
      </c>
      <c r="D11" s="210" t="s">
        <v>116</v>
      </c>
      <c r="E11" s="211"/>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57</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118</v>
      </c>
      <c r="CR11" s="26"/>
      <c r="CS11" s="26"/>
      <c r="CT11" s="26"/>
      <c r="CU11" s="26"/>
      <c r="CV11" s="26" t="s">
        <v>119</v>
      </c>
      <c r="CW11" s="26" t="s">
        <v>120</v>
      </c>
      <c r="CX11" s="26" t="s">
        <v>121</v>
      </c>
      <c r="CY11" s="26"/>
      <c r="CZ11" s="26" t="s">
        <v>119</v>
      </c>
      <c r="DA11" s="26" t="s">
        <v>120</v>
      </c>
      <c r="DB11" s="26" t="s">
        <v>120</v>
      </c>
      <c r="DC11" s="26"/>
      <c r="DD11" s="26" t="s">
        <v>119</v>
      </c>
      <c r="DE11" s="26" t="s">
        <v>122</v>
      </c>
      <c r="DF11" s="26" t="s">
        <v>122</v>
      </c>
      <c r="DG11" s="26"/>
      <c r="DH11" s="26"/>
      <c r="DI11" s="26"/>
      <c r="DJ11" s="26"/>
      <c r="DK11" s="26" t="s">
        <v>122</v>
      </c>
      <c r="DL11" s="26" t="s">
        <v>120</v>
      </c>
      <c r="DM11" s="26"/>
      <c r="DN11" s="26"/>
      <c r="DO11" s="26"/>
      <c r="DP11" s="26"/>
      <c r="DQ11" s="26"/>
      <c r="DR11" s="26"/>
      <c r="DS11" s="26"/>
      <c r="DT11" s="26"/>
    </row>
    <row r="12" spans="1:124" ht="15" x14ac:dyDescent="0.25">
      <c r="B12" s="46" t="s">
        <v>3</v>
      </c>
      <c r="C12" s="47">
        <v>0</v>
      </c>
      <c r="D12" s="210" t="s">
        <v>116</v>
      </c>
      <c r="E12" s="211"/>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57</v>
      </c>
      <c r="Z12" s="26"/>
      <c r="AA12" s="26">
        <v>1</v>
      </c>
      <c r="AB12" s="26">
        <v>0.63500000000000001</v>
      </c>
      <c r="AC12" s="26"/>
      <c r="AD12" s="26"/>
      <c r="AE12" s="26"/>
      <c r="AF12" s="26"/>
      <c r="AG12" s="26"/>
      <c r="AH12" s="26"/>
      <c r="AI12" s="26"/>
      <c r="AJ12" s="26"/>
      <c r="AK12" s="26"/>
      <c r="AL12" s="26"/>
      <c r="AM12" s="26"/>
      <c r="AN12" s="26">
        <v>5.5</v>
      </c>
      <c r="AO12" s="26" t="s">
        <v>57</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123</v>
      </c>
      <c r="CA12" s="26" t="s">
        <v>124</v>
      </c>
      <c r="CB12" s="26" t="s">
        <v>10</v>
      </c>
      <c r="CC12" s="26" t="s">
        <v>11</v>
      </c>
      <c r="CD12" s="26" t="s">
        <v>1</v>
      </c>
      <c r="CE12" s="26"/>
      <c r="CF12" s="26"/>
      <c r="CG12" s="26"/>
      <c r="CH12" s="26"/>
      <c r="CI12" s="26"/>
      <c r="CJ12" s="26"/>
      <c r="CK12" s="26"/>
      <c r="CL12" s="26"/>
      <c r="CM12" s="26"/>
      <c r="CN12" s="26"/>
      <c r="CO12" s="26"/>
      <c r="CP12" s="26"/>
      <c r="CQ12" s="26" t="s">
        <v>125</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122</v>
      </c>
      <c r="DI12" s="26"/>
      <c r="DJ12" s="26"/>
      <c r="DK12" s="26"/>
      <c r="DL12" s="26">
        <v>17.899999999999999</v>
      </c>
      <c r="DM12" s="26"/>
      <c r="DN12" s="26"/>
      <c r="DO12" s="26"/>
      <c r="DP12" s="26"/>
      <c r="DQ12" s="26"/>
      <c r="DR12" s="26"/>
      <c r="DS12" s="26"/>
      <c r="DT12" s="26"/>
    </row>
    <row r="13" spans="1:124" ht="15" x14ac:dyDescent="0.25">
      <c r="A13" s="48"/>
      <c r="B13" s="46" t="s">
        <v>5</v>
      </c>
      <c r="C13" s="47">
        <v>0</v>
      </c>
      <c r="D13" s="210" t="s">
        <v>116</v>
      </c>
      <c r="E13" s="211"/>
      <c r="F13" s="26"/>
      <c r="G13" s="26"/>
      <c r="H13" s="26"/>
      <c r="I13" s="26"/>
      <c r="J13" s="26"/>
      <c r="K13" s="26">
        <f>($I$7+$I$8+$I$10+$I$11+$I$9+500)*1.2%*($C$7)*C9</f>
        <v>0.52500000000000002</v>
      </c>
      <c r="L13" s="26" t="s">
        <v>127</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128</v>
      </c>
      <c r="Y13" s="26">
        <v>0.05</v>
      </c>
      <c r="Z13" s="26"/>
      <c r="AA13" s="26">
        <v>11</v>
      </c>
      <c r="AB13" s="26">
        <v>0.66</v>
      </c>
      <c r="AC13" s="26"/>
      <c r="AD13" s="26" t="s">
        <v>129</v>
      </c>
      <c r="AE13" s="26">
        <v>0</v>
      </c>
      <c r="AF13" s="26"/>
      <c r="AG13" s="26"/>
      <c r="AH13" s="26"/>
      <c r="AI13" s="26"/>
      <c r="AJ13" s="26"/>
      <c r="AK13" s="26"/>
      <c r="AL13" s="26"/>
      <c r="AM13" s="26"/>
      <c r="AN13" s="26">
        <v>6</v>
      </c>
      <c r="AO13" s="26" t="s">
        <v>57</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130</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10" t="s">
        <v>131</v>
      </c>
      <c r="E14" s="211"/>
      <c r="F14" s="26" t="e">
        <f>F16*(F15+1)</f>
        <v>#N/A</v>
      </c>
      <c r="G14" s="26"/>
      <c r="H14" s="26"/>
      <c r="I14" s="26"/>
      <c r="J14" s="26"/>
      <c r="K14" s="26">
        <f>($I$7+$I$8+$I$10+$I$11+$I$9+500)*1.2%*($C$8)*C9</f>
        <v>0.06</v>
      </c>
      <c r="L14" s="26" t="s">
        <v>132</v>
      </c>
      <c r="M14" s="26"/>
      <c r="N14" s="26"/>
      <c r="O14" s="26"/>
      <c r="P14" s="26" t="str">
        <f>IF(C151=0," = הזן  נתונים  מימין ==&gt;",B151)</f>
        <v>הסכם 87</v>
      </c>
      <c r="Q14" s="26">
        <v>0</v>
      </c>
      <c r="R14" s="26">
        <f>Q14</f>
        <v>0</v>
      </c>
      <c r="S14" s="26">
        <f>H12</f>
        <v>0</v>
      </c>
      <c r="T14" s="26">
        <v>0</v>
      </c>
      <c r="U14" s="26"/>
      <c r="V14" s="26"/>
      <c r="W14" s="26"/>
      <c r="X14" s="26" t="s">
        <v>133</v>
      </c>
      <c r="Y14" s="26">
        <v>0.10249999999999999</v>
      </c>
      <c r="Z14" s="26"/>
      <c r="AA14" s="26">
        <v>12</v>
      </c>
      <c r="AB14" s="26">
        <v>0.68</v>
      </c>
      <c r="AC14" s="26"/>
      <c r="AD14" s="26" t="s">
        <v>134</v>
      </c>
      <c r="AE14" s="26">
        <f>AB44</f>
        <v>1</v>
      </c>
      <c r="AF14" s="26"/>
      <c r="AG14" s="26"/>
      <c r="AH14" s="26">
        <v>5</v>
      </c>
      <c r="AI14" s="26"/>
      <c r="AJ14" s="26" t="s">
        <v>135</v>
      </c>
      <c r="AK14" s="26"/>
      <c r="AL14" s="26" t="e">
        <f>#REF!</f>
        <v>#REF!</v>
      </c>
      <c r="AM14" s="26"/>
      <c r="AN14" s="26">
        <v>6.5</v>
      </c>
      <c r="AO14" s="26" t="s">
        <v>57</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136</v>
      </c>
      <c r="CA14" s="26" t="s">
        <v>137</v>
      </c>
      <c r="CB14" s="26" t="s">
        <v>138</v>
      </c>
      <c r="CC14" s="26"/>
      <c r="CD14" s="26"/>
      <c r="CE14" s="26"/>
      <c r="CF14" s="26"/>
      <c r="CG14" s="26" t="s">
        <v>139</v>
      </c>
      <c r="CH14" s="26"/>
      <c r="CI14" s="26"/>
      <c r="CJ14" s="26"/>
      <c r="CK14" s="26" t="s">
        <v>140</v>
      </c>
      <c r="CL14" s="26"/>
      <c r="CM14" s="26"/>
      <c r="CN14" s="26"/>
      <c r="CO14" s="26"/>
      <c r="CP14" s="26"/>
      <c r="CQ14" s="26" t="s">
        <v>141</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142</v>
      </c>
      <c r="C15" s="49">
        <v>0</v>
      </c>
      <c r="D15" s="210" t="s">
        <v>143</v>
      </c>
      <c r="E15" s="211">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57</v>
      </c>
      <c r="AV15" s="26">
        <f>BG61+BG62</f>
        <v>33</v>
      </c>
      <c r="AW15" s="26">
        <f>IF(AW16=0,0,1)</f>
        <v>1</v>
      </c>
      <c r="AX15" s="26"/>
      <c r="AY15" s="26"/>
      <c r="AZ15" s="26" t="s">
        <v>57</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144</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145</v>
      </c>
      <c r="DM15" s="26"/>
      <c r="DN15" s="26"/>
      <c r="DO15" s="26"/>
      <c r="DP15" s="26"/>
      <c r="DQ15" s="26"/>
      <c r="DR15" s="26"/>
      <c r="DS15" s="26"/>
      <c r="DT15" s="26"/>
    </row>
    <row r="16" spans="1:124" ht="18.75" customHeight="1" x14ac:dyDescent="0.25">
      <c r="B16" s="34" t="s">
        <v>146</v>
      </c>
      <c r="C16" s="39">
        <v>1</v>
      </c>
      <c r="D16" s="210" t="s">
        <v>147</v>
      </c>
      <c r="E16" s="211"/>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149</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57</v>
      </c>
      <c r="BA16" s="26">
        <v>14</v>
      </c>
      <c r="BB16" s="26">
        <v>0.312</v>
      </c>
      <c r="BC16" s="26"/>
      <c r="BD16" s="26"/>
      <c r="BE16" s="26"/>
      <c r="BF16" s="26"/>
      <c r="BG16" s="26"/>
      <c r="BH16" s="26"/>
      <c r="BI16" s="26"/>
      <c r="BJ16" s="26"/>
      <c r="BK16" s="26" t="s">
        <v>150</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151</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152</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0</v>
      </c>
      <c r="D17" s="40" t="s">
        <v>153</v>
      </c>
      <c r="E17" s="38"/>
      <c r="F17" s="26"/>
      <c r="G17" s="26"/>
      <c r="H17" s="26"/>
      <c r="I17" s="26"/>
      <c r="J17" s="26"/>
      <c r="K17" s="26"/>
      <c r="L17" s="26"/>
      <c r="M17" s="26"/>
      <c r="N17" s="26"/>
      <c r="O17" s="26"/>
      <c r="P17" s="26" t="s">
        <v>154</v>
      </c>
      <c r="Q17" s="26">
        <v>0</v>
      </c>
      <c r="R17" s="26">
        <f>R10*1.2%*C8</f>
        <v>83.702039999999997</v>
      </c>
      <c r="S17" s="26" t="s">
        <v>154</v>
      </c>
      <c r="T17" s="26">
        <v>0</v>
      </c>
      <c r="U17" s="26"/>
      <c r="V17" s="26"/>
      <c r="W17" s="26"/>
      <c r="X17" s="26"/>
      <c r="Y17" s="26"/>
      <c r="Z17" s="26"/>
      <c r="AA17" s="26" t="s">
        <v>155</v>
      </c>
      <c r="AB17" s="26" t="s">
        <v>69</v>
      </c>
      <c r="AC17" s="26"/>
      <c r="AD17" s="26"/>
      <c r="AE17" s="26"/>
      <c r="AF17" s="26"/>
      <c r="AG17" s="26"/>
      <c r="AH17" s="26">
        <v>67</v>
      </c>
      <c r="AI17" s="26">
        <f>IF(MONTH(J4)=9,1,0)</f>
        <v>0</v>
      </c>
      <c r="AJ17" s="26">
        <f>HLOOKUP(BG59,kothor1,3,FALSE)</f>
        <v>1</v>
      </c>
      <c r="AK17" s="26">
        <f>HLOOKUP(BG59,kothor1,2,FALSE)</f>
        <v>1</v>
      </c>
      <c r="AL17" s="26" t="s">
        <v>156</v>
      </c>
      <c r="AM17" s="26">
        <v>39844</v>
      </c>
      <c r="AN17" s="26">
        <v>8</v>
      </c>
      <c r="AO17" s="26">
        <v>8.5</v>
      </c>
      <c r="AP17" s="26" t="s">
        <v>157</v>
      </c>
      <c r="AQ17" s="26">
        <v>40442</v>
      </c>
      <c r="AR17" s="26"/>
      <c r="AS17" s="26"/>
      <c r="AT17" s="26"/>
      <c r="AU17" s="26" t="e">
        <f>"06/"&amp;MID(AV17,1,4)</f>
        <v>#NUM!</v>
      </c>
      <c r="AV17" s="26" t="e">
        <f>YEAR(AV16+J4)+AW15</f>
        <v>#NUM!</v>
      </c>
      <c r="AW17" s="26" t="s">
        <v>158</v>
      </c>
      <c r="AX17" s="26"/>
      <c r="AY17" s="26"/>
      <c r="AZ17" s="26"/>
      <c r="BA17" s="26">
        <v>15</v>
      </c>
      <c r="BB17" s="26">
        <v>0.33600000000000002</v>
      </c>
      <c r="BC17" s="26"/>
      <c r="BD17" s="26"/>
      <c r="BE17" s="26" t="s">
        <v>159</v>
      </c>
      <c r="BF17" s="26" t="s">
        <v>160</v>
      </c>
      <c r="BG17" s="26" t="s">
        <v>161</v>
      </c>
      <c r="BH17" s="26"/>
      <c r="BI17" s="26"/>
      <c r="BJ17" s="26"/>
      <c r="BK17" s="26" t="s">
        <v>162</v>
      </c>
      <c r="BL17" s="26">
        <f>F159</f>
        <v>0</v>
      </c>
      <c r="BM17" s="26"/>
      <c r="BN17" s="26"/>
      <c r="BO17" s="26"/>
      <c r="BP17" s="26"/>
      <c r="BQ17" s="26" t="s">
        <v>163</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164</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165</v>
      </c>
      <c r="C18" s="190">
        <f>K66</f>
        <v>1</v>
      </c>
      <c r="D18" s="212" t="s">
        <v>153</v>
      </c>
      <c r="E18" s="213"/>
      <c r="F18" s="26" t="s">
        <v>106</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57</v>
      </c>
      <c r="AE18" s="26"/>
      <c r="AF18" s="26" t="e">
        <f>1-#REF!/(#REF!+#REF!)</f>
        <v>#REF!</v>
      </c>
      <c r="AG18" s="26"/>
      <c r="AH18" s="26"/>
      <c r="AI18" s="26"/>
      <c r="AJ18" s="26"/>
      <c r="AK18" s="26"/>
      <c r="AL18" s="26" t="s">
        <v>166</v>
      </c>
      <c r="AM18" s="26">
        <v>39872</v>
      </c>
      <c r="AN18" s="26">
        <v>8.5</v>
      </c>
      <c r="AO18" s="26">
        <v>9</v>
      </c>
      <c r="AP18" s="26"/>
      <c r="AQ18" s="26"/>
      <c r="AR18" s="26"/>
      <c r="AS18" s="26" t="s">
        <v>167</v>
      </c>
      <c r="AT18" s="26"/>
      <c r="AU18" s="26"/>
      <c r="AV18" s="26"/>
      <c r="AW18" s="26"/>
      <c r="AX18" s="26"/>
      <c r="AY18" s="26" t="s">
        <v>168</v>
      </c>
      <c r="AZ18" s="26"/>
      <c r="BA18" s="26">
        <v>16</v>
      </c>
      <c r="BB18" s="26">
        <v>0.36</v>
      </c>
      <c r="BC18" s="26"/>
      <c r="BD18" s="26"/>
      <c r="BE18" s="26" t="s">
        <v>169</v>
      </c>
      <c r="BF18" s="26" t="s">
        <v>169</v>
      </c>
      <c r="BG18" s="26" t="s">
        <v>170</v>
      </c>
      <c r="BH18" s="26" t="s">
        <v>171</v>
      </c>
      <c r="BI18" s="26" t="s">
        <v>172</v>
      </c>
      <c r="BJ18" s="26" t="s">
        <v>173</v>
      </c>
      <c r="BK18" s="26" t="s">
        <v>174</v>
      </c>
      <c r="BL18" s="26"/>
      <c r="BM18" s="26"/>
      <c r="BN18" s="26"/>
      <c r="BO18" s="26"/>
      <c r="BP18" s="26"/>
      <c r="BQ18" s="26">
        <v>1114297</v>
      </c>
      <c r="BR18" s="26"/>
      <c r="BS18" s="26" t="s">
        <v>175</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176</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177</v>
      </c>
      <c r="DM18" s="26"/>
      <c r="DN18" s="26"/>
      <c r="DO18" s="26"/>
      <c r="DP18" s="26"/>
      <c r="DQ18" s="26"/>
      <c r="DR18" s="26"/>
      <c r="DS18" s="26"/>
      <c r="DT18" s="26"/>
    </row>
    <row r="19" spans="2:124" ht="15" x14ac:dyDescent="0.25">
      <c r="B19" s="34" t="s">
        <v>178</v>
      </c>
      <c r="C19" s="35" t="s">
        <v>106</v>
      </c>
      <c r="D19" s="210" t="s">
        <v>179</v>
      </c>
      <c r="E19" s="211"/>
      <c r="F19" s="26" t="s">
        <v>180</v>
      </c>
      <c r="G19" s="26" t="s">
        <v>181</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57</v>
      </c>
      <c r="W19" s="26">
        <v>1</v>
      </c>
      <c r="X19" s="26"/>
      <c r="Y19" s="26"/>
      <c r="Z19" s="26"/>
      <c r="AA19" s="26" t="s">
        <v>182</v>
      </c>
      <c r="AB19" s="26">
        <v>5</v>
      </c>
      <c r="AC19" s="26"/>
      <c r="AD19" s="26"/>
      <c r="AE19" s="26" t="s">
        <v>57</v>
      </c>
      <c r="AF19" s="26" t="s">
        <v>57</v>
      </c>
      <c r="AG19" s="26" t="s">
        <v>183</v>
      </c>
      <c r="AH19" s="26"/>
      <c r="AI19" s="26"/>
      <c r="AJ19" s="26"/>
      <c r="AK19" s="26"/>
      <c r="AL19" s="26" t="s">
        <v>184</v>
      </c>
      <c r="AM19" s="26">
        <v>39903</v>
      </c>
      <c r="AN19" s="26">
        <v>9</v>
      </c>
      <c r="AO19" s="26" t="s">
        <v>185</v>
      </c>
      <c r="AP19" s="26" t="s">
        <v>100</v>
      </c>
      <c r="AQ19" s="26" t="s">
        <v>186</v>
      </c>
      <c r="AR19" s="26">
        <f>'[1]נתוני מס'!I22</f>
        <v>395</v>
      </c>
      <c r="AS19" s="26">
        <v>10</v>
      </c>
      <c r="AT19" s="26"/>
      <c r="AU19" s="26" t="s">
        <v>187</v>
      </c>
      <c r="AV19" s="26"/>
      <c r="AW19" s="26"/>
      <c r="AX19" s="26"/>
      <c r="AY19" s="26">
        <f>AQ20</f>
        <v>21262</v>
      </c>
      <c r="AZ19" s="26" t="s">
        <v>188</v>
      </c>
      <c r="BA19" s="26" t="s">
        <v>189</v>
      </c>
      <c r="BB19" s="26">
        <f>VLOOKUP(BG69,nihool,2,FALSE)</f>
        <v>0</v>
      </c>
      <c r="BC19" s="26"/>
      <c r="BD19" s="26"/>
      <c r="BE19" s="26" t="s">
        <v>174</v>
      </c>
      <c r="BF19" s="26" t="s">
        <v>190</v>
      </c>
      <c r="BG19" s="26" t="e">
        <f>#REF!/12</f>
        <v>#REF!</v>
      </c>
      <c r="BH19" s="26" t="e">
        <f>#REF!</f>
        <v>#REF!</v>
      </c>
      <c r="BI19" s="26" t="e">
        <f>#REF!/12-BJ102</f>
        <v>#REF!</v>
      </c>
      <c r="BJ19" s="26" t="e">
        <f>(12*(F222-Q26)+BG77)/12</f>
        <v>#REF!</v>
      </c>
      <c r="BK19" s="26" t="e">
        <f>(#REF!*((12-BJ31/12))+BG77/12*BJ32)/12+F159+BJ20*((12-BJ32)/12)</f>
        <v>#REF!</v>
      </c>
      <c r="BL19" s="26"/>
      <c r="BM19" s="26"/>
      <c r="BN19" s="26" t="s">
        <v>191</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192</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178</v>
      </c>
      <c r="C20" s="35" t="s">
        <v>181</v>
      </c>
      <c r="D20" s="210" t="s">
        <v>193</v>
      </c>
      <c r="E20" s="211"/>
      <c r="F20" s="26"/>
      <c r="G20" s="26" t="s">
        <v>194</v>
      </c>
      <c r="H20" s="26"/>
      <c r="I20" s="26"/>
      <c r="J20" s="26"/>
      <c r="K20" s="26"/>
      <c r="L20" s="26"/>
      <c r="M20" s="26"/>
      <c r="N20" s="26"/>
      <c r="O20" s="26" t="e">
        <f>D155*C9</f>
        <v>#N/A</v>
      </c>
      <c r="P20" s="26" t="s">
        <v>99</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195</v>
      </c>
      <c r="AB20" s="26" t="s">
        <v>69</v>
      </c>
      <c r="AC20" s="26"/>
      <c r="AD20" s="26" t="s">
        <v>196</v>
      </c>
      <c r="AE20" s="26" t="s">
        <v>57</v>
      </c>
      <c r="AF20" s="26" t="s">
        <v>57</v>
      </c>
      <c r="AG20" s="26" t="s">
        <v>197</v>
      </c>
      <c r="AH20" s="26"/>
      <c r="AI20" s="26"/>
      <c r="AJ20" s="26" t="s">
        <v>198</v>
      </c>
      <c r="AK20" s="26"/>
      <c r="AL20" s="26" t="s">
        <v>199</v>
      </c>
      <c r="AM20" s="26">
        <v>39933</v>
      </c>
      <c r="AN20" s="26"/>
      <c r="AO20" s="26"/>
      <c r="AP20" s="26" t="s">
        <v>188</v>
      </c>
      <c r="AQ20" s="26">
        <v>21262</v>
      </c>
      <c r="AR20" s="26"/>
      <c r="AS20" s="26" t="s">
        <v>200</v>
      </c>
      <c r="AT20" s="26"/>
      <c r="AU20" s="26">
        <v>0</v>
      </c>
      <c r="AV20" s="26"/>
      <c r="AW20" s="26"/>
      <c r="AX20" s="26"/>
      <c r="AY20" s="26"/>
      <c r="AZ20" s="26"/>
      <c r="BA20" s="26" t="s">
        <v>201</v>
      </c>
      <c r="BB20" s="26">
        <f>VLOOKUP(B168,nihool,2,FALSE)</f>
        <v>0</v>
      </c>
      <c r="BC20" s="26"/>
      <c r="BD20" s="26"/>
      <c r="BE20" s="26" t="e">
        <f>#REF!/12/#REF!+#REF!+F159-BJ102</f>
        <v>#REF!</v>
      </c>
      <c r="BF20" s="26" t="e">
        <f>#REF!/12+#REF!+F159-BJ102</f>
        <v>#REF!</v>
      </c>
      <c r="BG20" s="26" t="s">
        <v>202</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203</v>
      </c>
      <c r="BV20" s="26"/>
      <c r="BW20" s="26"/>
      <c r="BX20" s="26"/>
      <c r="BY20" s="26"/>
      <c r="BZ20" s="26" t="s">
        <v>204</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205</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206</v>
      </c>
      <c r="C21" s="190" t="str">
        <f>G3</f>
        <v>מנהל אקדמאי קיים</v>
      </c>
      <c r="D21" s="214" t="s">
        <v>207</v>
      </c>
      <c r="E21" s="215"/>
      <c r="F21" s="26"/>
      <c r="G21" s="26"/>
      <c r="H21" s="26"/>
      <c r="I21" s="26"/>
      <c r="J21" s="26"/>
      <c r="K21" s="26" t="s">
        <v>209</v>
      </c>
      <c r="L21" s="26"/>
      <c r="M21" s="26"/>
      <c r="N21" s="26"/>
      <c r="O21" s="26">
        <f>N21*C9</f>
        <v>0</v>
      </c>
      <c r="P21" s="26" t="s">
        <v>208</v>
      </c>
      <c r="Q21" s="26" t="e">
        <f>BB19*Q20</f>
        <v>#REF!</v>
      </c>
      <c r="R21" s="26">
        <f>BB19*R20</f>
        <v>0</v>
      </c>
      <c r="S21" s="26" t="e">
        <f>#REF!</f>
        <v>#REF!</v>
      </c>
      <c r="T21" s="26" t="e">
        <f>U21*T20</f>
        <v>#REF!</v>
      </c>
      <c r="U21" s="26">
        <f>IF(BB19=0,0,IF((BB19+V21)&gt;36%,36%,BB19+V21))</f>
        <v>0</v>
      </c>
      <c r="V21" s="26" t="e">
        <f>(G179-T7)*2.4%</f>
        <v>#REF!</v>
      </c>
      <c r="W21" s="26"/>
      <c r="X21" s="26"/>
      <c r="Y21" s="26"/>
      <c r="Z21" s="26"/>
      <c r="AA21" s="26" t="s">
        <v>210</v>
      </c>
      <c r="AB21" s="26" t="s">
        <v>198</v>
      </c>
      <c r="AC21" s="26"/>
      <c r="AD21" s="26" t="s">
        <v>27</v>
      </c>
      <c r="AE21" s="26" t="s">
        <v>57</v>
      </c>
      <c r="AF21" s="26" t="s">
        <v>57</v>
      </c>
      <c r="AG21" s="26" t="s">
        <v>211</v>
      </c>
      <c r="AH21" s="26"/>
      <c r="AI21" s="26"/>
      <c r="AJ21" s="26"/>
      <c r="AK21" s="26"/>
      <c r="AL21" s="26" t="s">
        <v>212</v>
      </c>
      <c r="AM21" s="26">
        <v>39964</v>
      </c>
      <c r="AN21" s="26"/>
      <c r="AO21" s="26"/>
      <c r="AP21" s="26" t="s">
        <v>213</v>
      </c>
      <c r="AQ21" s="26" t="s">
        <v>214</v>
      </c>
      <c r="AR21" s="26"/>
      <c r="AS21" s="26">
        <v>11</v>
      </c>
      <c r="AT21" s="26"/>
      <c r="AU21" s="26">
        <v>0.5</v>
      </c>
      <c r="AV21" s="26"/>
      <c r="AW21" s="26"/>
      <c r="AX21" s="26" t="s">
        <v>57</v>
      </c>
      <c r="AY21" s="26">
        <v>17288</v>
      </c>
      <c r="AZ21" s="26">
        <v>17288</v>
      </c>
      <c r="BA21" s="26"/>
      <c r="BB21" s="26" t="s">
        <v>215</v>
      </c>
      <c r="BC21" s="26"/>
      <c r="BD21" s="26"/>
      <c r="BE21" s="26" t="s">
        <v>216</v>
      </c>
      <c r="BF21" s="26"/>
      <c r="BG21" s="26"/>
      <c r="BH21" s="26" t="s">
        <v>217</v>
      </c>
      <c r="BI21" s="26" t="s">
        <v>218</v>
      </c>
      <c r="BJ21" s="26" t="s">
        <v>171</v>
      </c>
      <c r="BK21" s="26" t="s">
        <v>219</v>
      </c>
      <c r="BL21" s="26" t="s">
        <v>220</v>
      </c>
      <c r="BM21" s="26" t="s">
        <v>221</v>
      </c>
      <c r="BN21" s="26" t="s">
        <v>222</v>
      </c>
      <c r="BO21" s="26"/>
      <c r="BP21" s="26" t="s">
        <v>223</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224</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225</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209</v>
      </c>
      <c r="L22" s="26"/>
      <c r="M22" s="26"/>
      <c r="N22" s="26"/>
      <c r="O22" s="26">
        <f>J23</f>
        <v>0</v>
      </c>
      <c r="P22" s="26" t="s">
        <v>226</v>
      </c>
      <c r="Q22" s="26" t="e">
        <f>AB16*Q10</f>
        <v>#REF!</v>
      </c>
      <c r="R22" s="26">
        <f>AB16*R10</f>
        <v>0</v>
      </c>
      <c r="S22" s="26" t="e">
        <f>#REF!</f>
        <v>#REF!</v>
      </c>
      <c r="T22" s="26" t="e">
        <f>U22*T10</f>
        <v>#REF!</v>
      </c>
      <c r="U22" s="26">
        <f>VLOOKUP(INT(V22),ghad1,2,FALSE)</f>
        <v>0</v>
      </c>
      <c r="V22" s="26">
        <f>IF(AB16=0,0,IF(60-T7+BG70&gt;13,13,60-T7+BG70))</f>
        <v>0</v>
      </c>
      <c r="W22" s="26" t="s">
        <v>227</v>
      </c>
      <c r="X22" s="26">
        <f>IF(C39=16%,IF(OR(C5=CB16,C5=CC16,C5=CD16),0.8,0.9),0.8)</f>
        <v>0.8</v>
      </c>
      <c r="Y22" s="26"/>
      <c r="Z22" s="26"/>
      <c r="AA22" s="26" t="s">
        <v>228</v>
      </c>
      <c r="AB22" s="26"/>
      <c r="AC22" s="26"/>
      <c r="AD22" s="26"/>
      <c r="AE22" s="26" t="s">
        <v>57</v>
      </c>
      <c r="AF22" s="26" t="s">
        <v>57</v>
      </c>
      <c r="AG22" s="26" t="s">
        <v>229</v>
      </c>
      <c r="AH22" s="26" t="s">
        <v>57</v>
      </c>
      <c r="AI22" s="26"/>
      <c r="AJ22" s="26" t="s">
        <v>230</v>
      </c>
      <c r="AK22" s="26"/>
      <c r="AL22" s="26" t="s">
        <v>231</v>
      </c>
      <c r="AM22" s="26">
        <v>39994</v>
      </c>
      <c r="AN22" s="26"/>
      <c r="AO22" s="26"/>
      <c r="AP22" s="26" t="s">
        <v>232</v>
      </c>
      <c r="AQ22" s="26">
        <v>28734</v>
      </c>
      <c r="AR22" s="26"/>
      <c r="AS22" s="26" t="s">
        <v>233</v>
      </c>
      <c r="AT22" s="26"/>
      <c r="AU22" s="26">
        <v>1</v>
      </c>
      <c r="AV22" s="26"/>
      <c r="AW22" s="26"/>
      <c r="AX22" s="26" t="s">
        <v>57</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234</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235</v>
      </c>
      <c r="DM22" s="26"/>
      <c r="DN22" s="26"/>
      <c r="DO22" s="26"/>
      <c r="DP22" s="26"/>
      <c r="DQ22" s="26"/>
      <c r="DR22" s="26"/>
      <c r="DS22" s="26"/>
      <c r="DT22" s="26"/>
    </row>
    <row r="23" spans="2:124" ht="15.75" customHeight="1" thickBot="1" x14ac:dyDescent="0.25">
      <c r="B23" s="26"/>
      <c r="D23" s="53" t="s">
        <v>106</v>
      </c>
      <c r="F23" s="26"/>
      <c r="G23" s="26"/>
      <c r="H23" s="26"/>
      <c r="I23" s="26"/>
      <c r="J23" s="26"/>
      <c r="K23" s="26" t="s">
        <v>209</v>
      </c>
      <c r="L23" s="26"/>
      <c r="M23" s="26"/>
      <c r="N23" s="26"/>
      <c r="O23" s="26">
        <v>0</v>
      </c>
      <c r="P23" s="26" t="s">
        <v>236</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237</v>
      </c>
      <c r="AA23" s="26"/>
      <c r="AB23" s="26">
        <v>0</v>
      </c>
      <c r="AC23" s="26"/>
      <c r="AD23" s="26"/>
      <c r="AE23" s="26" t="s">
        <v>57</v>
      </c>
      <c r="AF23" s="26" t="s">
        <v>238</v>
      </c>
      <c r="AG23" s="26" t="s">
        <v>239</v>
      </c>
      <c r="AH23" s="26"/>
      <c r="AI23" s="26"/>
      <c r="AJ23" s="26" t="s">
        <v>240</v>
      </c>
      <c r="AK23" s="26">
        <v>389</v>
      </c>
      <c r="AL23" s="26" t="s">
        <v>241</v>
      </c>
      <c r="AM23" s="26">
        <v>40025</v>
      </c>
      <c r="AN23" s="26"/>
      <c r="AO23" s="26"/>
      <c r="AP23" s="26">
        <v>16</v>
      </c>
      <c r="AQ23" s="26">
        <v>11</v>
      </c>
      <c r="AR23" s="26"/>
      <c r="AS23" s="26">
        <v>12</v>
      </c>
      <c r="AT23" s="26"/>
      <c r="AU23" s="26">
        <v>1.5</v>
      </c>
      <c r="AV23" s="26"/>
      <c r="AW23" s="26"/>
      <c r="AX23" s="26" t="s">
        <v>57</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242</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152</v>
      </c>
      <c r="DL23" s="26" t="s">
        <v>243</v>
      </c>
      <c r="DM23" s="26"/>
      <c r="DN23" s="26"/>
      <c r="DO23" s="26"/>
      <c r="DP23" s="26"/>
      <c r="DQ23" s="26"/>
      <c r="DR23" s="26"/>
      <c r="DS23" s="26"/>
      <c r="DT23" s="26"/>
    </row>
    <row r="24" spans="2:124" ht="15.75" customHeight="1" thickBot="1" x14ac:dyDescent="0.3">
      <c r="B24" s="26"/>
      <c r="C24" s="55" t="s">
        <v>244</v>
      </c>
      <c r="D24" s="55" t="s">
        <v>245</v>
      </c>
      <c r="E24" s="55" t="s">
        <v>246</v>
      </c>
      <c r="F24" s="56" t="s">
        <v>247</v>
      </c>
      <c r="G24" s="26"/>
      <c r="H24" s="26"/>
      <c r="I24" s="26"/>
      <c r="J24" s="26"/>
      <c r="K24" s="26" t="s">
        <v>209</v>
      </c>
      <c r="L24" s="26"/>
      <c r="M24" s="26"/>
      <c r="N24" s="26">
        <f>I25</f>
        <v>0</v>
      </c>
      <c r="O24" s="26">
        <f>J25</f>
        <v>0</v>
      </c>
      <c r="P24" s="26" t="s">
        <v>248</v>
      </c>
      <c r="Q24" s="26" t="e">
        <f>Q5*BG72</f>
        <v>#REF!</v>
      </c>
      <c r="R24" s="26">
        <f>Q25</f>
        <v>0</v>
      </c>
      <c r="S24" s="26" t="s">
        <v>249</v>
      </c>
      <c r="T24" s="26" t="e">
        <f>T5*BG72</f>
        <v>#REF!</v>
      </c>
      <c r="U24" s="26"/>
      <c r="V24" s="26"/>
      <c r="W24" s="26"/>
      <c r="X24" s="26" t="s">
        <v>250</v>
      </c>
      <c r="Y24" s="26"/>
      <c r="Z24" s="26"/>
      <c r="AA24" s="26"/>
      <c r="AB24" s="26"/>
      <c r="AC24" s="26"/>
      <c r="AD24" s="26"/>
      <c r="AE24" s="26" t="s">
        <v>57</v>
      </c>
      <c r="AF24" s="26"/>
      <c r="AG24" s="26" t="s">
        <v>57</v>
      </c>
      <c r="AH24" s="26"/>
      <c r="AI24" s="26"/>
      <c r="AJ24" s="26" t="s">
        <v>251</v>
      </c>
      <c r="AK24" s="26">
        <v>0.59709999999999996</v>
      </c>
      <c r="AL24" s="26" t="s">
        <v>252</v>
      </c>
      <c r="AM24" s="26">
        <v>40056</v>
      </c>
      <c r="AN24" s="26"/>
      <c r="AO24" s="26"/>
      <c r="AP24" s="26">
        <v>20</v>
      </c>
      <c r="AQ24" s="26">
        <v>12</v>
      </c>
      <c r="AR24" s="26"/>
      <c r="AS24" s="26" t="s">
        <v>253</v>
      </c>
      <c r="AT24" s="26" t="s">
        <v>254</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255</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256</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257</v>
      </c>
      <c r="DL24" s="26" t="s">
        <v>258</v>
      </c>
      <c r="DM24" s="26"/>
      <c r="DN24" s="26"/>
      <c r="DO24" s="26"/>
      <c r="DP24" s="26"/>
      <c r="DQ24" s="26"/>
      <c r="DR24" s="26"/>
      <c r="DS24" s="26"/>
      <c r="DT24" s="26"/>
    </row>
    <row r="25" spans="2:124" ht="15" customHeight="1" x14ac:dyDescent="0.2">
      <c r="B25" s="57" t="s">
        <v>259</v>
      </c>
      <c r="C25" s="57">
        <v>0</v>
      </c>
      <c r="D25" s="57">
        <v>0</v>
      </c>
      <c r="E25" s="57">
        <v>0</v>
      </c>
      <c r="F25" s="58">
        <f>SUM(C25:E25)</f>
        <v>0</v>
      </c>
      <c r="G25" s="26" t="s">
        <v>260</v>
      </c>
      <c r="H25" s="26"/>
      <c r="I25" s="26"/>
      <c r="J25" s="26"/>
      <c r="K25" s="26" t="s">
        <v>209</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261</v>
      </c>
      <c r="Y25" s="26"/>
      <c r="Z25" s="26"/>
      <c r="AA25" s="26"/>
      <c r="AB25" s="26"/>
      <c r="AC25" s="26">
        <v>40147</v>
      </c>
      <c r="AD25" s="26"/>
      <c r="AE25" s="26" t="s">
        <v>262</v>
      </c>
      <c r="AF25" s="26" t="e">
        <f>IF(BF50&lt;60,MIN(BA43:BA45),0)</f>
        <v>#REF!</v>
      </c>
      <c r="AG25" s="26"/>
      <c r="AH25" s="26"/>
      <c r="AI25" s="26"/>
      <c r="AJ25" s="26" t="s">
        <v>263</v>
      </c>
      <c r="AK25" s="26">
        <v>40574</v>
      </c>
      <c r="AL25" s="26" t="s">
        <v>149</v>
      </c>
      <c r="AM25" s="26">
        <v>40086</v>
      </c>
      <c r="AN25" s="26"/>
      <c r="AO25" s="26"/>
      <c r="AP25" s="26">
        <v>25</v>
      </c>
      <c r="AQ25" s="26">
        <v>13</v>
      </c>
      <c r="AR25" s="26"/>
      <c r="AS25" s="26">
        <v>13</v>
      </c>
      <c r="AT25" s="26">
        <v>34</v>
      </c>
      <c r="AU25" s="26">
        <v>2.5</v>
      </c>
      <c r="AV25" s="26"/>
      <c r="AW25" s="26"/>
      <c r="AX25" s="26"/>
      <c r="AY25" s="26">
        <v>18994</v>
      </c>
      <c r="AZ25" s="26">
        <v>18994</v>
      </c>
      <c r="BA25" s="26"/>
      <c r="BB25" s="26" t="s">
        <v>136</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264</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265</v>
      </c>
      <c r="DL25" s="26" t="s">
        <v>266</v>
      </c>
      <c r="DM25" s="26"/>
      <c r="DN25" s="26"/>
      <c r="DO25" s="26"/>
      <c r="DP25" s="26"/>
      <c r="DQ25" s="26"/>
      <c r="DR25" s="26"/>
      <c r="DS25" s="26"/>
      <c r="DT25" s="26"/>
    </row>
    <row r="26" spans="2:124" ht="18.75" customHeight="1" x14ac:dyDescent="0.2">
      <c r="B26" s="51" t="s">
        <v>267</v>
      </c>
      <c r="C26" s="54">
        <f>C25*1</f>
        <v>0</v>
      </c>
      <c r="D26" s="54">
        <f>D25*1.1</f>
        <v>0</v>
      </c>
      <c r="E26" s="54">
        <f>E25*2</f>
        <v>0</v>
      </c>
      <c r="F26" s="59">
        <f>SUM(C26:E26)</f>
        <v>0</v>
      </c>
      <c r="G26" s="26" t="s">
        <v>268</v>
      </c>
      <c r="H26" s="26"/>
      <c r="I26" s="26"/>
      <c r="J26" s="26"/>
      <c r="K26" s="26"/>
      <c r="L26" s="26"/>
      <c r="M26" s="26"/>
      <c r="N26" s="26"/>
      <c r="O26" s="26"/>
      <c r="P26" s="26"/>
      <c r="Q26" s="26" t="e">
        <f>SUM(Q10:Q25)</f>
        <v>#REF!</v>
      </c>
      <c r="R26" s="26">
        <f>SUM(R10:R24)*'[1]נתוני מס'!L22*(1+'[1]נתוני מס'!L23)</f>
        <v>370.72618239809862</v>
      </c>
      <c r="S26" s="26" t="s">
        <v>269</v>
      </c>
      <c r="T26" s="26" t="e">
        <f>SUM(T10:T25)</f>
        <v>#REF!</v>
      </c>
      <c r="U26" s="26"/>
      <c r="V26" s="26"/>
      <c r="W26" s="26"/>
      <c r="X26" s="26"/>
      <c r="Y26" s="26"/>
      <c r="Z26" s="26"/>
      <c r="AA26" s="26"/>
      <c r="AB26" s="26"/>
      <c r="AC26" s="26">
        <v>147.53</v>
      </c>
      <c r="AD26" s="26"/>
      <c r="AE26" s="26"/>
      <c r="AF26" s="26"/>
      <c r="AG26" s="26"/>
      <c r="AH26" s="26"/>
      <c r="AI26" s="26"/>
      <c r="AJ26" s="26" t="s">
        <v>214</v>
      </c>
      <c r="AK26" s="26"/>
      <c r="AL26" s="26" t="s">
        <v>270</v>
      </c>
      <c r="AM26" s="26">
        <v>40117</v>
      </c>
      <c r="AN26" s="26"/>
      <c r="AO26" s="26"/>
      <c r="AP26" s="26"/>
      <c r="AQ26" s="26"/>
      <c r="AR26" s="26"/>
      <c r="AS26" s="26" t="s">
        <v>271</v>
      </c>
      <c r="AT26" s="26" t="s">
        <v>272</v>
      </c>
      <c r="AU26" s="26">
        <v>3</v>
      </c>
      <c r="AV26" s="26"/>
      <c r="AW26" s="26"/>
      <c r="AX26" s="26"/>
      <c r="AY26" s="26">
        <v>19238</v>
      </c>
      <c r="AZ26" s="26">
        <v>19238</v>
      </c>
      <c r="BA26" s="26"/>
      <c r="BB26" s="26" t="s">
        <v>273</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222</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274</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266</v>
      </c>
      <c r="DM26" s="26"/>
      <c r="DN26" s="26"/>
      <c r="DO26" s="26"/>
      <c r="DP26" s="26"/>
      <c r="DQ26" s="26"/>
      <c r="DR26" s="26"/>
      <c r="DS26" s="26"/>
      <c r="DT26" s="26"/>
    </row>
    <row r="27" spans="2:124" ht="23.25" customHeight="1" thickBot="1" x14ac:dyDescent="0.25">
      <c r="C27" s="60"/>
      <c r="D27" s="60" t="s">
        <v>180</v>
      </c>
      <c r="E27" s="60"/>
      <c r="G27" s="26"/>
      <c r="H27" s="26"/>
      <c r="I27" s="26"/>
      <c r="J27" s="26"/>
      <c r="K27" s="26"/>
      <c r="L27" s="26"/>
      <c r="M27" s="26"/>
      <c r="N27" s="26"/>
      <c r="O27" s="26"/>
      <c r="P27" s="26"/>
      <c r="Q27" s="26"/>
      <c r="R27" s="26">
        <f>SUM(R10:R26)</f>
        <v>8258.5172972512592</v>
      </c>
      <c r="S27" s="26" t="s">
        <v>277</v>
      </c>
      <c r="T27" s="26" t="e">
        <f>(T26*V8+D234*H193)/T9</f>
        <v>#REF!</v>
      </c>
      <c r="U27" s="26" t="s">
        <v>57</v>
      </c>
      <c r="V27" s="26"/>
      <c r="W27" s="26"/>
      <c r="X27" s="26"/>
      <c r="Y27" s="26"/>
      <c r="Z27" s="26"/>
      <c r="AA27" s="26"/>
      <c r="AB27" s="26"/>
      <c r="AC27" s="26"/>
      <c r="AD27" s="26"/>
      <c r="AE27" s="26" t="s">
        <v>273</v>
      </c>
      <c r="AF27" s="26">
        <f>YEAR(AK25)-YEAR(J4)+BC26</f>
        <v>144</v>
      </c>
      <c r="AG27" s="26"/>
      <c r="AH27" s="26"/>
      <c r="AI27" s="26" t="s">
        <v>278</v>
      </c>
      <c r="AJ27" s="26" t="s">
        <v>279</v>
      </c>
      <c r="AK27" s="26" t="s">
        <v>280</v>
      </c>
      <c r="AL27" s="26" t="s">
        <v>281</v>
      </c>
      <c r="AM27" s="26">
        <v>40147</v>
      </c>
      <c r="AN27" s="26"/>
      <c r="AO27" s="26"/>
      <c r="AP27" s="26"/>
      <c r="AQ27" s="26" t="s">
        <v>57</v>
      </c>
      <c r="AR27" s="26">
        <f>VLOOKUP(AF27,__HAV2,2,TRUE)</f>
        <v>13</v>
      </c>
      <c r="AS27" s="26">
        <v>14</v>
      </c>
      <c r="AT27" s="26">
        <v>35</v>
      </c>
      <c r="AU27" s="26"/>
      <c r="AV27" s="26"/>
      <c r="AW27" s="26"/>
      <c r="AX27" s="26"/>
      <c r="AY27" s="26">
        <v>19480</v>
      </c>
      <c r="AZ27" s="26">
        <v>19480</v>
      </c>
      <c r="BA27" s="26" t="s">
        <v>282</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283</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284</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266</v>
      </c>
      <c r="DM27" s="26"/>
      <c r="DN27" s="26"/>
      <c r="DO27" s="26"/>
      <c r="DP27" s="26"/>
      <c r="DQ27" s="26"/>
      <c r="DR27" s="26"/>
      <c r="DS27" s="26"/>
      <c r="DT27" s="26"/>
    </row>
    <row r="28" spans="2:124" ht="15" customHeight="1" thickBot="1" x14ac:dyDescent="0.3">
      <c r="C28" s="55" t="s">
        <v>285</v>
      </c>
      <c r="D28" s="55" t="s">
        <v>286</v>
      </c>
      <c r="E28" s="55" t="s">
        <v>287</v>
      </c>
      <c r="F28" s="56" t="s">
        <v>247</v>
      </c>
      <c r="G28" s="26"/>
      <c r="H28" s="26"/>
      <c r="I28" s="26"/>
      <c r="J28" s="26"/>
      <c r="K28" s="26"/>
      <c r="L28" s="26"/>
      <c r="M28" s="26"/>
      <c r="N28" s="26"/>
      <c r="O28" s="26" t="s">
        <v>275</v>
      </c>
      <c r="P28" s="26">
        <f>I27+I21</f>
        <v>0</v>
      </c>
      <c r="Q28" s="26">
        <f>J27+J21</f>
        <v>0</v>
      </c>
      <c r="R28" s="26"/>
      <c r="S28" s="26"/>
      <c r="T28" s="26"/>
      <c r="U28" s="26"/>
      <c r="V28" s="26"/>
      <c r="W28" s="26"/>
      <c r="X28" s="26"/>
      <c r="Y28" s="26"/>
      <c r="Z28" s="26"/>
      <c r="AA28" s="26"/>
      <c r="AB28" s="26"/>
      <c r="AC28" s="26">
        <v>164.07</v>
      </c>
      <c r="AD28" s="26"/>
      <c r="AE28" s="26" t="s">
        <v>290</v>
      </c>
      <c r="AF28" s="26">
        <f>BC24</f>
        <v>33</v>
      </c>
      <c r="AG28" s="26"/>
      <c r="AH28" s="26" t="s">
        <v>189</v>
      </c>
      <c r="AI28" s="26">
        <f>IF(BC24&gt;AF29,AF29,BC24)</f>
        <v>33</v>
      </c>
      <c r="AJ28" s="26" t="e">
        <f>IF(AB21=#REF!,1.5*AK28,1*AK28)</f>
        <v>#REF!</v>
      </c>
      <c r="AK28" s="26">
        <f>IF(AB21=AJ20,1,IF(BC24&gt;30,0.75,1))</f>
        <v>1</v>
      </c>
      <c r="AL28" s="26" t="s">
        <v>291</v>
      </c>
      <c r="AM28" s="26">
        <v>40178</v>
      </c>
      <c r="AN28" s="26"/>
      <c r="AO28" s="26"/>
      <c r="AP28" s="26"/>
      <c r="AQ28" s="26"/>
      <c r="AR28" s="26"/>
      <c r="AS28" s="26" t="s">
        <v>292</v>
      </c>
      <c r="AT28" s="26" t="s">
        <v>293</v>
      </c>
      <c r="AU28" s="26"/>
      <c r="AV28" s="26"/>
      <c r="AW28" s="26"/>
      <c r="AX28" s="26"/>
      <c r="AY28" s="26"/>
      <c r="AZ28" s="26"/>
      <c r="BA28" s="26"/>
      <c r="BB28" s="26" t="s">
        <v>57</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294</v>
      </c>
      <c r="CR28" s="26"/>
      <c r="CS28" s="26"/>
      <c r="CT28" s="26"/>
      <c r="CU28" s="26"/>
      <c r="CV28" s="26">
        <v>17</v>
      </c>
      <c r="CW28" s="26">
        <v>59.6</v>
      </c>
      <c r="CX28" s="26"/>
      <c r="CY28" s="26"/>
      <c r="CZ28" s="26">
        <v>17</v>
      </c>
      <c r="DA28" s="26">
        <v>47</v>
      </c>
      <c r="DB28" s="26">
        <v>56.14</v>
      </c>
      <c r="DC28" s="26"/>
      <c r="DD28" s="26">
        <v>17</v>
      </c>
      <c r="DE28" s="26">
        <v>26.4</v>
      </c>
      <c r="DF28" s="26">
        <v>28.2</v>
      </c>
      <c r="DG28" s="26"/>
      <c r="DH28" s="26" t="s">
        <v>295</v>
      </c>
      <c r="DI28" s="26"/>
      <c r="DJ28" s="26"/>
      <c r="DK28" s="26" t="s">
        <v>296</v>
      </c>
      <c r="DL28" s="26" t="s">
        <v>266</v>
      </c>
      <c r="DM28" s="26"/>
      <c r="DN28" s="26"/>
      <c r="DO28" s="26"/>
      <c r="DP28" s="26"/>
      <c r="DQ28" s="26"/>
      <c r="DR28" s="26"/>
      <c r="DS28" s="26"/>
      <c r="DT28" s="26"/>
    </row>
    <row r="29" spans="2:124" ht="14.25" customHeight="1" x14ac:dyDescent="0.25">
      <c r="B29" s="35" t="s">
        <v>259</v>
      </c>
      <c r="C29" s="35">
        <v>15</v>
      </c>
      <c r="D29" s="35">
        <v>0</v>
      </c>
      <c r="E29" s="35">
        <v>0</v>
      </c>
      <c r="F29" s="60">
        <f>SUM(C29:E29)</f>
        <v>15</v>
      </c>
      <c r="G29" s="26"/>
      <c r="H29" s="26"/>
      <c r="I29" s="26"/>
      <c r="J29" s="26"/>
      <c r="K29" s="26"/>
      <c r="L29" s="26"/>
      <c r="M29" s="26"/>
      <c r="N29" s="26"/>
      <c r="O29" s="26" t="s">
        <v>288</v>
      </c>
      <c r="P29" s="26">
        <f>3.4%*P28</f>
        <v>0</v>
      </c>
      <c r="Q29" s="26" t="e">
        <f>(Q28*1.034*1.15-P33)/P33</f>
        <v>#N/A</v>
      </c>
      <c r="R29" s="26" t="s">
        <v>299</v>
      </c>
      <c r="S29" s="26">
        <f>C134</f>
        <v>35</v>
      </c>
      <c r="T29" s="26" t="e">
        <f>U32+W32</f>
        <v>#REF!</v>
      </c>
      <c r="U29" s="26" t="s">
        <v>31</v>
      </c>
      <c r="V29" s="26"/>
      <c r="W29" s="26"/>
      <c r="X29" s="26"/>
      <c r="Y29" s="26"/>
      <c r="Z29" s="26"/>
      <c r="AA29" s="26" t="s">
        <v>300</v>
      </c>
      <c r="AB29" s="26">
        <f>IF(BG71=AD20,12%,0)</f>
        <v>0</v>
      </c>
      <c r="AC29" s="26"/>
      <c r="AD29" s="26"/>
      <c r="AE29" s="26" t="s">
        <v>301</v>
      </c>
      <c r="AF29" s="26">
        <v>36</v>
      </c>
      <c r="AG29" s="26"/>
      <c r="AH29" s="26" t="s">
        <v>302</v>
      </c>
      <c r="AI29" s="26">
        <f>IF((AI28+AG38)&gt;AF29,AF29,AI28+AG38)</f>
        <v>36</v>
      </c>
      <c r="AJ29" s="26"/>
      <c r="AK29" s="26"/>
      <c r="AL29" s="26"/>
      <c r="AM29" s="26">
        <v>40209</v>
      </c>
      <c r="AN29" s="26"/>
      <c r="AO29" s="26"/>
      <c r="AP29" s="26"/>
      <c r="AQ29" s="26"/>
      <c r="AR29" s="26"/>
      <c r="AS29" s="26">
        <v>15</v>
      </c>
      <c r="AT29" s="26">
        <v>36</v>
      </c>
      <c r="AU29" s="26"/>
      <c r="AV29" s="26"/>
      <c r="AW29" s="26" t="s">
        <v>303</v>
      </c>
      <c r="AX29" s="26"/>
      <c r="AY29" s="26">
        <f>IF(MONTH(J4)=1,1,0)</f>
        <v>1</v>
      </c>
      <c r="AZ29" s="26"/>
      <c r="BA29" s="26" t="s">
        <v>304</v>
      </c>
      <c r="BB29" s="26" t="e">
        <f>(Q26-#REF!)*12</f>
        <v>#REF!</v>
      </c>
      <c r="BC29" s="26"/>
      <c r="BD29" s="26"/>
      <c r="BE29" s="26"/>
      <c r="BF29" s="26" t="s">
        <v>305</v>
      </c>
      <c r="BG29" s="26" t="s">
        <v>306</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307</v>
      </c>
      <c r="BQ29" s="26"/>
      <c r="BR29" s="26"/>
      <c r="BS29" s="26" t="e">
        <f>IF($BR$28=0%,BS27,IF(BS21&lt;$BP$20,BS27*$BI$99,BS27-($BP$28*BS28)))</f>
        <v>#REF!</v>
      </c>
      <c r="BT29" s="26"/>
      <c r="BU29" s="26" t="e">
        <f>IF($BR$28=0%,BU27,IF(BU21&lt;$BP$20,BU27*$BI$99,BU27-($BP$28*BU28)))</f>
        <v>#REF!</v>
      </c>
      <c r="BV29" s="26" t="s">
        <v>308</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266</v>
      </c>
      <c r="DM29" s="26"/>
      <c r="DN29" s="26"/>
      <c r="DO29" s="26"/>
      <c r="DP29" s="26"/>
      <c r="DQ29" s="26"/>
      <c r="DR29" s="26"/>
      <c r="DS29" s="26"/>
      <c r="DT29" s="26"/>
    </row>
    <row r="30" spans="2:124" ht="14.25" customHeight="1" x14ac:dyDescent="0.2">
      <c r="B30" s="51" t="s">
        <v>267</v>
      </c>
      <c r="C30" s="51">
        <f>C29*2.4</f>
        <v>36</v>
      </c>
      <c r="D30" s="51">
        <f>D29*2.2</f>
        <v>0</v>
      </c>
      <c r="E30" s="51">
        <f>E29*2</f>
        <v>0</v>
      </c>
      <c r="F30" s="59">
        <f>SUM(C30:E30)</f>
        <v>36</v>
      </c>
      <c r="G30" s="26"/>
      <c r="H30" s="26"/>
      <c r="I30" s="26"/>
      <c r="J30" s="26"/>
      <c r="K30" s="26"/>
      <c r="L30" s="26"/>
      <c r="M30" s="26"/>
      <c r="N30" s="26"/>
      <c r="O30" s="26" t="s">
        <v>297</v>
      </c>
      <c r="P30" s="26">
        <f>IF($C$21=$S$723,15%,15%*0.8)</f>
        <v>0.15</v>
      </c>
      <c r="Q30" s="26" t="e">
        <f>ROUND(Q29,2)</f>
        <v>#N/A</v>
      </c>
      <c r="R30" s="26" t="s">
        <v>311</v>
      </c>
      <c r="S30" s="26">
        <f>C135</f>
        <v>0</v>
      </c>
      <c r="T30" s="26" t="e">
        <f>U33+W33</f>
        <v>#REF!</v>
      </c>
      <c r="U30" s="26" t="s">
        <v>30</v>
      </c>
      <c r="V30" s="26"/>
      <c r="W30" s="26"/>
      <c r="X30" s="26"/>
      <c r="Y30" s="26"/>
      <c r="Z30" s="26"/>
      <c r="AA30" s="26"/>
      <c r="AB30" s="26"/>
      <c r="AC30" s="26"/>
      <c r="AD30" s="26"/>
      <c r="AE30" s="26"/>
      <c r="AF30" s="26"/>
      <c r="AG30" s="26" t="s">
        <v>312</v>
      </c>
      <c r="AH30" s="26"/>
      <c r="AI30" s="26"/>
      <c r="AJ30" s="26" t="e">
        <f>(100-AJ28)/100</f>
        <v>#REF!</v>
      </c>
      <c r="AK30" s="26"/>
      <c r="AL30" s="26"/>
      <c r="AM30" s="26">
        <v>40237</v>
      </c>
      <c r="AN30" s="26"/>
      <c r="AO30" s="26" t="s">
        <v>313</v>
      </c>
      <c r="AP30" s="26"/>
      <c r="AQ30" s="26"/>
      <c r="AR30" s="26"/>
      <c r="AS30" s="26" t="s">
        <v>314</v>
      </c>
      <c r="AT30" s="26" t="s">
        <v>315</v>
      </c>
      <c r="AU30" s="26"/>
      <c r="AV30" s="26"/>
      <c r="AW30" s="26"/>
      <c r="AX30" s="26"/>
      <c r="AY30" s="26" t="s">
        <v>57</v>
      </c>
      <c r="AZ30" s="26"/>
      <c r="BA30" s="26" t="s">
        <v>57</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316</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257</v>
      </c>
      <c r="DI30" s="26"/>
      <c r="DJ30" s="26"/>
      <c r="DK30" s="26"/>
      <c r="DL30" s="26" t="s">
        <v>266</v>
      </c>
      <c r="DM30" s="26"/>
      <c r="DN30" s="26"/>
      <c r="DO30" s="26"/>
      <c r="DP30" s="26"/>
      <c r="DQ30" s="26"/>
      <c r="DR30" s="26"/>
      <c r="DS30" s="26"/>
      <c r="DT30" s="26"/>
    </row>
    <row r="31" spans="2:124" ht="18.75" customHeight="1" x14ac:dyDescent="0.25">
      <c r="B31" s="60" t="s">
        <v>317</v>
      </c>
      <c r="E31" s="35">
        <v>0</v>
      </c>
      <c r="F31" s="61">
        <f>F30*0.05*E31</f>
        <v>0</v>
      </c>
      <c r="G31" s="26"/>
      <c r="H31" s="26"/>
      <c r="I31" s="26"/>
      <c r="J31" s="26"/>
      <c r="K31" s="26" t="s">
        <v>299</v>
      </c>
      <c r="L31" s="26"/>
      <c r="M31" s="26"/>
      <c r="N31" s="26"/>
      <c r="O31" s="26" t="s">
        <v>309</v>
      </c>
      <c r="P31" s="26">
        <f>(P28+P29)*(1+P30)</f>
        <v>0</v>
      </c>
      <c r="Q31" s="26"/>
      <c r="R31" s="26"/>
      <c r="S31" s="26"/>
      <c r="T31" s="26"/>
      <c r="U31" s="26"/>
      <c r="V31" s="26"/>
      <c r="W31" s="26"/>
      <c r="X31" s="26"/>
      <c r="Y31" s="26"/>
      <c r="Z31" s="26"/>
      <c r="AA31" s="26" t="s">
        <v>319</v>
      </c>
      <c r="AB31" s="26"/>
      <c r="AC31" s="26"/>
      <c r="AD31" s="26"/>
      <c r="AE31" s="26" t="s">
        <v>320</v>
      </c>
      <c r="AF31" s="26"/>
      <c r="AG31" s="26" t="s">
        <v>321</v>
      </c>
      <c r="AH31" s="26"/>
      <c r="AI31" s="26"/>
      <c r="AJ31" s="26"/>
      <c r="AK31" s="26"/>
      <c r="AL31" s="26"/>
      <c r="AM31" s="26">
        <v>40268</v>
      </c>
      <c r="AN31" s="26"/>
      <c r="AO31" s="26">
        <f>DATE(YEAR(J4),MONTH(J4)-MONTH(J4)+1,DAY(J4)-DAY(J4)+1)</f>
        <v>1</v>
      </c>
      <c r="AP31" s="26">
        <f>ROUND((AO31-AQ22)/365.25,2)</f>
        <v>-78.67</v>
      </c>
      <c r="AQ31" s="26"/>
      <c r="AR31" s="26"/>
      <c r="AS31" s="26">
        <v>16</v>
      </c>
      <c r="AT31" s="26">
        <v>37</v>
      </c>
      <c r="AU31" s="26" t="s">
        <v>57</v>
      </c>
      <c r="AV31" s="26"/>
      <c r="AW31" s="26"/>
      <c r="AX31" s="26"/>
      <c r="AY31" s="26"/>
      <c r="AZ31" s="26"/>
      <c r="BA31" s="26">
        <f>IF(24.75-BG61-BG62&lt;=0,0,IF((24.75-BG61-BG62)&gt;#REF!,#REF!*#REF!*0.6,(24.75-BG61-BG62)*#REF!*0.6))</f>
        <v>0</v>
      </c>
      <c r="BB31" s="26"/>
      <c r="BC31" s="26"/>
      <c r="BD31" s="26"/>
      <c r="BE31" s="26"/>
      <c r="BF31" s="26"/>
      <c r="BG31" s="26" t="s">
        <v>322</v>
      </c>
      <c r="BH31" s="26"/>
      <c r="BI31" s="26"/>
      <c r="BJ31" s="26">
        <f>IF(MONTH(AK25)&gt;9,0,MONTH(AK25)-1+DAY(AK25)/30)</f>
        <v>1.0333333333333334</v>
      </c>
      <c r="BK31" s="26"/>
      <c r="BL31" s="26" t="s">
        <v>323</v>
      </c>
      <c r="BM31" s="26" t="e">
        <f>IF(BM30=0,0,(BM30-(BG76*BM32)*12)-BP31)</f>
        <v>#REF!</v>
      </c>
      <c r="BN31" s="26" t="s">
        <v>324</v>
      </c>
      <c r="BO31" s="26" t="s">
        <v>325</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266</v>
      </c>
      <c r="DM31" s="26"/>
      <c r="DN31" s="26"/>
      <c r="DO31" s="26"/>
      <c r="DP31" s="26"/>
      <c r="DQ31" s="26"/>
      <c r="DR31" s="26"/>
      <c r="DS31" s="26"/>
      <c r="DT31" s="26"/>
    </row>
    <row r="32" spans="2:124" ht="17.25" customHeight="1" x14ac:dyDescent="0.25">
      <c r="B32" s="60" t="s">
        <v>326</v>
      </c>
      <c r="E32" s="35">
        <v>0</v>
      </c>
      <c r="F32" s="61">
        <f>F30*0.05*E32</f>
        <v>0</v>
      </c>
      <c r="G32" s="26"/>
      <c r="H32" s="26"/>
      <c r="I32" s="26"/>
      <c r="J32" s="26"/>
      <c r="K32" s="26" t="s">
        <v>328</v>
      </c>
      <c r="L32" s="26"/>
      <c r="M32" s="26"/>
      <c r="N32" s="26"/>
      <c r="O32" s="26" t="s">
        <v>60</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57</v>
      </c>
      <c r="AA32" s="26" t="s">
        <v>330</v>
      </c>
      <c r="AB32" s="26" t="s">
        <v>250</v>
      </c>
      <c r="AC32" s="26"/>
      <c r="AD32" s="26"/>
      <c r="AE32" s="26" t="e">
        <f>#REF!</f>
        <v>#REF!</v>
      </c>
      <c r="AF32" s="26"/>
      <c r="AG32" s="26">
        <f>BG76*'[1]נתוני מס'!I14</f>
        <v>574.75</v>
      </c>
      <c r="AH32" s="26"/>
      <c r="AI32" s="26"/>
      <c r="AJ32" s="26"/>
      <c r="AK32" s="26"/>
      <c r="AL32" s="26"/>
      <c r="AM32" s="26">
        <v>40298</v>
      </c>
      <c r="AN32" s="26"/>
      <c r="AO32" s="26"/>
      <c r="AP32" s="26"/>
      <c r="AQ32" s="26"/>
      <c r="AR32" s="26"/>
      <c r="AS32" s="26" t="s">
        <v>331</v>
      </c>
      <c r="AT32" s="26" t="s">
        <v>332</v>
      </c>
      <c r="AU32" s="26"/>
      <c r="AV32" s="26"/>
      <c r="AW32" s="26"/>
      <c r="AX32" s="26" t="s">
        <v>333</v>
      </c>
      <c r="AY32" s="26">
        <f>ROUND(H154,0)</f>
        <v>113</v>
      </c>
      <c r="AZ32" s="26"/>
      <c r="BA32" s="26" t="e">
        <f>IF(H159&lt;70%,IF(#REF!* 2% &gt;70%-H159,70%-H159,#REF!*2%),IF(H157+H158-H159&lt;=0,0,H157+H158-H159))</f>
        <v>#REF!</v>
      </c>
      <c r="BB32" s="26"/>
      <c r="BC32" s="26"/>
      <c r="BD32" s="26"/>
      <c r="BE32" s="26"/>
      <c r="BF32" s="26"/>
      <c r="BG32" s="26" t="s">
        <v>334</v>
      </c>
      <c r="BH32" s="26"/>
      <c r="BI32" s="26"/>
      <c r="BJ32" s="26">
        <f>MONTH(AK25)-1+DAY(AK25)/30</f>
        <v>1.0333333333333334</v>
      </c>
      <c r="BK32" s="26"/>
      <c r="BL32" s="26" t="s">
        <v>335</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266</v>
      </c>
      <c r="DM32" s="26"/>
      <c r="DN32" s="26"/>
      <c r="DO32" s="26"/>
      <c r="DP32" s="26"/>
      <c r="DQ32" s="26"/>
      <c r="DR32" s="26"/>
      <c r="DS32" s="26"/>
      <c r="DT32" s="26"/>
    </row>
    <row r="33" spans="2:124" ht="21" customHeight="1" x14ac:dyDescent="0.2">
      <c r="B33" s="60"/>
      <c r="C33" s="60"/>
      <c r="D33" s="210" t="s">
        <v>147</v>
      </c>
      <c r="E33" s="211"/>
      <c r="F33" s="59">
        <f>SUM(F30:F32)</f>
        <v>36</v>
      </c>
      <c r="G33" s="26"/>
      <c r="H33" s="26"/>
      <c r="I33" s="26"/>
      <c r="J33" s="26"/>
      <c r="K33" s="26"/>
      <c r="L33" s="26"/>
      <c r="M33" s="26"/>
      <c r="N33" s="26"/>
      <c r="O33" s="26" t="s">
        <v>327</v>
      </c>
      <c r="P33" s="26" t="e">
        <f>VLOOKUP(P32,טור12,2,1)</f>
        <v>#N/A</v>
      </c>
      <c r="Q33" s="26"/>
      <c r="R33" s="26"/>
      <c r="S33" s="26"/>
      <c r="T33" s="26" t="e">
        <f>IF(#REF!="כן",10%,0)</f>
        <v>#REF!</v>
      </c>
      <c r="U33" s="26">
        <f>(C135/24)</f>
        <v>0</v>
      </c>
      <c r="V33" s="26">
        <f>U33/(U32+U33)</f>
        <v>0</v>
      </c>
      <c r="W33" s="26" t="e">
        <f>T33*V33</f>
        <v>#REF!</v>
      </c>
      <c r="X33" s="26"/>
      <c r="Y33" s="26"/>
      <c r="Z33" s="26"/>
      <c r="AA33" s="26" t="s">
        <v>337</v>
      </c>
      <c r="AB33" s="26" t="s">
        <v>128</v>
      </c>
      <c r="AC33" s="26"/>
      <c r="AD33" s="26"/>
      <c r="AE33" s="26" t="s">
        <v>57</v>
      </c>
      <c r="AF33" s="26"/>
      <c r="AG33" s="26"/>
      <c r="AH33" s="26"/>
      <c r="AI33" s="26" t="s">
        <v>338</v>
      </c>
      <c r="AJ33" s="26" t="e">
        <f>Q26*0.36</f>
        <v>#REF!</v>
      </c>
      <c r="AK33" s="26"/>
      <c r="AL33" s="26"/>
      <c r="AM33" s="26">
        <v>40329</v>
      </c>
      <c r="AN33" s="26"/>
      <c r="AO33" s="26" t="s">
        <v>339</v>
      </c>
      <c r="AP33" s="26" t="s">
        <v>340</v>
      </c>
      <c r="AQ33" s="26"/>
      <c r="AR33" s="26"/>
      <c r="AS33" s="26">
        <v>17</v>
      </c>
      <c r="AT33" s="26">
        <v>38</v>
      </c>
      <c r="AU33" s="26"/>
      <c r="AV33" s="26"/>
      <c r="AW33" s="26"/>
      <c r="AX33" s="26" t="s">
        <v>341</v>
      </c>
      <c r="AY33" s="26" t="s">
        <v>57</v>
      </c>
      <c r="AZ33" s="26"/>
      <c r="BA33" s="26"/>
      <c r="BB33" s="26"/>
      <c r="BC33" s="26"/>
      <c r="BD33" s="26"/>
      <c r="BE33" s="26"/>
      <c r="BF33" s="26"/>
      <c r="BG33" s="26"/>
      <c r="BH33" s="26"/>
      <c r="BI33" s="26"/>
      <c r="BJ33" s="26"/>
      <c r="BK33" s="26"/>
      <c r="BL33" s="26" t="s">
        <v>342</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57</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343</v>
      </c>
      <c r="DM33" s="26"/>
      <c r="DN33" s="26"/>
      <c r="DO33" s="26"/>
      <c r="DP33" s="26"/>
      <c r="DQ33" s="26"/>
      <c r="DR33" s="26"/>
      <c r="DS33" s="26"/>
      <c r="DT33" s="26"/>
    </row>
    <row r="34" spans="2:124" ht="17.25" customHeight="1" x14ac:dyDescent="0.25">
      <c r="B34" s="52" t="s">
        <v>248</v>
      </c>
      <c r="C34" s="39">
        <v>0</v>
      </c>
      <c r="D34" s="26"/>
      <c r="E34" s="26"/>
      <c r="F34" s="26"/>
      <c r="G34" s="26"/>
      <c r="H34" s="26" t="s">
        <v>344</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346</v>
      </c>
      <c r="AT34" s="26" t="s">
        <v>347</v>
      </c>
      <c r="AU34" s="26"/>
      <c r="AV34" s="26"/>
      <c r="AW34" s="26"/>
      <c r="AX34" s="26" t="s">
        <v>348</v>
      </c>
      <c r="AY34" s="26">
        <f>(AY36*2)/100</f>
        <v>0.18833333333333332</v>
      </c>
      <c r="AZ34" s="26"/>
      <c r="BA34" s="26"/>
      <c r="BB34" s="26"/>
      <c r="BC34" s="26"/>
      <c r="BD34" s="26"/>
      <c r="BE34" s="26"/>
      <c r="BF34" s="26"/>
      <c r="BG34" s="26"/>
      <c r="BH34" s="26"/>
      <c r="BI34" s="26"/>
      <c r="BJ34" s="26"/>
      <c r="BK34" s="26" t="s">
        <v>57</v>
      </c>
      <c r="BL34" s="26" t="s">
        <v>349</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343</v>
      </c>
      <c r="DM34" s="26"/>
      <c r="DN34" s="26"/>
      <c r="DO34" s="26"/>
      <c r="DP34" s="26"/>
      <c r="DQ34" s="26"/>
      <c r="DR34" s="26"/>
      <c r="DS34" s="26"/>
      <c r="DT34" s="26"/>
    </row>
    <row r="35" spans="2:124" ht="12.75" customHeight="1" x14ac:dyDescent="0.2">
      <c r="B35" s="210"/>
      <c r="C35" s="211"/>
      <c r="D35" s="26"/>
      <c r="E35" s="26"/>
      <c r="F35" s="26"/>
      <c r="G35" s="26"/>
      <c r="H35" s="26">
        <f>IF(C14&gt;1%,"3%",0)</f>
        <v>0</v>
      </c>
      <c r="I35" s="26">
        <f>IF(C14&gt;1%,3,0)</f>
        <v>0</v>
      </c>
      <c r="J35" s="26" t="s">
        <v>350</v>
      </c>
      <c r="K35" s="26"/>
      <c r="L35" s="26"/>
      <c r="M35" s="26"/>
      <c r="N35" s="26"/>
      <c r="O35" s="26"/>
      <c r="P35" s="26"/>
      <c r="Q35" s="26"/>
      <c r="R35" s="26"/>
      <c r="S35" s="26"/>
      <c r="T35" s="26"/>
      <c r="U35" s="26"/>
      <c r="V35" s="26"/>
      <c r="W35" s="26"/>
      <c r="X35" s="26"/>
      <c r="Y35" s="26" t="s">
        <v>351</v>
      </c>
      <c r="Z35" s="26"/>
      <c r="AA35" s="26">
        <v>0</v>
      </c>
      <c r="AB35" s="26" t="s">
        <v>352</v>
      </c>
      <c r="AC35" s="26"/>
      <c r="AD35" s="26"/>
      <c r="AE35" s="26"/>
      <c r="AF35" s="26" t="s">
        <v>8</v>
      </c>
      <c r="AG35" s="26" t="s">
        <v>353</v>
      </c>
      <c r="AH35" s="26" t="s">
        <v>354</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343</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355</v>
      </c>
      <c r="Z36" s="26"/>
      <c r="AA36" s="26" t="s">
        <v>356</v>
      </c>
      <c r="AB36" s="26" t="s">
        <v>357</v>
      </c>
      <c r="AC36" s="26"/>
      <c r="AD36" s="26"/>
      <c r="AE36" s="26"/>
      <c r="AF36" s="26" t="s">
        <v>69</v>
      </c>
      <c r="AG36" s="26">
        <f>IF(BC24&lt;AF29,BC24-INT(BC24),0)</f>
        <v>0</v>
      </c>
      <c r="AH36" s="26" t="s">
        <v>358</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359</v>
      </c>
      <c r="AT36" s="26" t="s">
        <v>360</v>
      </c>
      <c r="AU36" s="26"/>
      <c r="AV36" s="26"/>
      <c r="AW36" s="26"/>
      <c r="AX36" s="26" t="s">
        <v>361</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343</v>
      </c>
      <c r="DM36" s="26"/>
      <c r="DN36" s="26"/>
      <c r="DO36" s="26"/>
      <c r="DP36" s="26"/>
      <c r="DQ36" s="26"/>
      <c r="DR36" s="26"/>
      <c r="DS36" s="26"/>
      <c r="DT36" s="26"/>
    </row>
    <row r="37" spans="2:124" ht="17.25" customHeight="1" x14ac:dyDescent="0.2">
      <c r="B37" s="26" t="s">
        <v>362</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302</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363</v>
      </c>
      <c r="BB37" s="26" t="s">
        <v>364</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343</v>
      </c>
      <c r="DM37" s="26"/>
      <c r="DN37" s="26"/>
      <c r="DO37" s="26"/>
      <c r="DP37" s="26"/>
      <c r="DQ37" s="26"/>
      <c r="DR37" s="26"/>
      <c r="DS37" s="26"/>
      <c r="DT37" s="26"/>
    </row>
    <row r="38" spans="2:124" ht="7.5" customHeight="1" x14ac:dyDescent="0.2">
      <c r="B38" s="26" t="s">
        <v>365</v>
      </c>
      <c r="C38" s="26" t="s">
        <v>29</v>
      </c>
      <c r="D38" s="26" t="s">
        <v>366</v>
      </c>
      <c r="E38" s="26"/>
      <c r="F38" s="26"/>
      <c r="G38" s="26"/>
      <c r="H38" s="26"/>
      <c r="I38" s="26"/>
      <c r="J38" s="26" t="s">
        <v>57</v>
      </c>
      <c r="K38" s="26" t="s">
        <v>367</v>
      </c>
      <c r="L38" s="26"/>
      <c r="M38" s="26"/>
      <c r="N38" s="26"/>
      <c r="O38" s="26"/>
      <c r="P38" s="26"/>
      <c r="Q38" s="26"/>
      <c r="R38" s="26"/>
      <c r="S38" s="26"/>
      <c r="T38" s="26"/>
      <c r="U38" s="26"/>
      <c r="V38" s="26"/>
      <c r="W38" s="26"/>
      <c r="X38" s="26"/>
      <c r="Y38" s="26"/>
      <c r="Z38" s="26"/>
      <c r="AA38" s="26"/>
      <c r="AB38" s="26"/>
      <c r="AC38" s="26"/>
      <c r="AD38" s="26"/>
      <c r="AE38" s="26" t="e">
        <f>35%*AE39</f>
        <v>#REF!</v>
      </c>
      <c r="AF38" s="26" t="s">
        <v>368</v>
      </c>
      <c r="AG38" s="26">
        <f>YEAR(AK25)-YEAR(J4)</f>
        <v>111</v>
      </c>
      <c r="AH38" s="26"/>
      <c r="AI38" s="26"/>
      <c r="AJ38" s="26"/>
      <c r="AK38" s="26"/>
      <c r="AL38" s="26"/>
      <c r="AM38" s="26">
        <v>40482</v>
      </c>
      <c r="AN38" s="26"/>
      <c r="AO38" s="26"/>
      <c r="AP38" s="26"/>
      <c r="AQ38" s="26"/>
      <c r="AR38" s="26"/>
      <c r="AS38" s="26" t="s">
        <v>369</v>
      </c>
      <c r="AT38" s="26" t="s">
        <v>370</v>
      </c>
      <c r="AU38" s="26"/>
      <c r="AV38" s="26"/>
      <c r="AW38" s="26"/>
      <c r="AX38" s="26"/>
      <c r="AY38" s="26" t="s">
        <v>371</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57</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343</v>
      </c>
      <c r="DM38" s="26"/>
      <c r="DN38" s="26"/>
      <c r="DO38" s="26"/>
      <c r="DP38" s="26"/>
      <c r="DQ38" s="26"/>
      <c r="DR38" s="26"/>
      <c r="DS38" s="26"/>
      <c r="DT38" s="26"/>
    </row>
    <row r="39" spans="2:124" ht="11.25" customHeight="1" x14ac:dyDescent="0.2">
      <c r="B39" s="26" t="s">
        <v>372</v>
      </c>
      <c r="C39" s="26">
        <f>IF($C$38="א-ו",J111,IF($C$38="ז-ח",J112,IF($C$38="חטיבת ביניים",J112-2.5%,#REF!)))</f>
        <v>0</v>
      </c>
      <c r="D39" s="26" t="s">
        <v>373</v>
      </c>
      <c r="E39" s="26"/>
      <c r="F39" s="26"/>
      <c r="G39" s="26"/>
      <c r="H39" s="26"/>
      <c r="I39" s="26">
        <v>3</v>
      </c>
      <c r="J39" s="26">
        <f>IF(C21=S723,1*L853,IF(C21=S724,0.75*L853,IF(C21=S725,0.6836*L853,0.5948*L853)))</f>
        <v>1</v>
      </c>
      <c r="K39" s="26"/>
      <c r="L39" s="26" t="s">
        <v>289</v>
      </c>
      <c r="M39" s="26" t="s">
        <v>180</v>
      </c>
      <c r="N39" s="26"/>
      <c r="O39" s="26" t="e">
        <f>IF(#REF!="כן",10%,0)</f>
        <v>#REF!</v>
      </c>
      <c r="P39" s="26" t="e">
        <f>(#REF!/24)</f>
        <v>#REF!</v>
      </c>
      <c r="Q39" s="26" t="e">
        <f>P39/(P40+P39)</f>
        <v>#REF!</v>
      </c>
      <c r="R39" s="26" t="e">
        <f>O39*Q39</f>
        <v>#REF!</v>
      </c>
      <c r="S39" s="26"/>
      <c r="T39" s="26"/>
      <c r="U39" s="26"/>
      <c r="V39" s="26"/>
      <c r="W39" s="26"/>
      <c r="X39" s="26"/>
      <c r="Y39" s="26"/>
      <c r="Z39" s="26"/>
      <c r="AA39" s="26" t="s">
        <v>374</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375</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376</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343</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298</v>
      </c>
      <c r="M40" s="26" t="s">
        <v>286</v>
      </c>
      <c r="N40" s="26" t="s">
        <v>287</v>
      </c>
      <c r="O40" s="26"/>
      <c r="P40" s="26" t="e">
        <f>#REF!/30</f>
        <v>#REF!</v>
      </c>
      <c r="Q40" s="26" t="e">
        <f>P40/(P39+P40)</f>
        <v>#REF!</v>
      </c>
      <c r="R40" s="26" t="e">
        <f>Q40*O39</f>
        <v>#REF!</v>
      </c>
      <c r="S40" s="26"/>
      <c r="T40" s="26"/>
      <c r="U40" s="26"/>
      <c r="V40" s="26"/>
      <c r="W40" s="26"/>
      <c r="X40" s="26"/>
      <c r="Y40" s="26"/>
      <c r="Z40" s="26"/>
      <c r="AA40" s="26" t="s">
        <v>377</v>
      </c>
      <c r="AB40" s="26">
        <v>0</v>
      </c>
      <c r="AC40" s="26"/>
      <c r="AD40" s="26"/>
      <c r="AE40" s="26"/>
      <c r="AF40" s="26"/>
      <c r="AG40" s="26"/>
      <c r="AH40" s="26" t="s">
        <v>358</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378</v>
      </c>
      <c r="AT40" s="26" t="s">
        <v>379</v>
      </c>
      <c r="AU40" s="26"/>
      <c r="AV40" s="26"/>
      <c r="AW40" s="26"/>
      <c r="AX40" s="26"/>
      <c r="AY40" s="26"/>
      <c r="AZ40" s="26"/>
      <c r="BA40" s="26"/>
      <c r="BB40" s="26"/>
      <c r="BC40" s="26"/>
      <c r="BD40" s="26"/>
      <c r="BE40" s="26"/>
      <c r="BF40" s="26"/>
      <c r="BG40" s="26"/>
      <c r="BH40" s="26"/>
      <c r="BI40" s="26"/>
      <c r="BJ40" s="26" t="s">
        <v>57</v>
      </c>
      <c r="BK40" s="26" t="s">
        <v>380</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343</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57</v>
      </c>
      <c r="K41" s="26"/>
      <c r="L41" s="26" t="s">
        <v>310</v>
      </c>
      <c r="M41" s="26">
        <v>2</v>
      </c>
      <c r="N41" s="26">
        <v>3</v>
      </c>
      <c r="O41" s="26"/>
      <c r="P41" s="26"/>
      <c r="Q41" s="26"/>
      <c r="R41" s="26"/>
      <c r="S41" s="26"/>
      <c r="T41" s="26"/>
      <c r="U41" s="26"/>
      <c r="V41" s="26"/>
      <c r="W41" s="26"/>
      <c r="X41" s="26"/>
      <c r="Y41" s="26"/>
      <c r="Z41" s="26"/>
      <c r="AA41" s="26"/>
      <c r="AB41" s="26"/>
      <c r="AC41" s="26"/>
      <c r="AD41" s="26"/>
      <c r="AE41" s="26" t="s">
        <v>381</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382</v>
      </c>
      <c r="AZ41" s="26" t="s">
        <v>383</v>
      </c>
      <c r="BA41" s="26"/>
      <c r="BB41" s="26"/>
      <c r="BC41" s="26"/>
      <c r="BD41" s="26"/>
      <c r="BE41" s="26"/>
      <c r="BF41" s="26"/>
      <c r="BG41" s="26"/>
      <c r="BH41" s="26"/>
      <c r="BI41" s="26"/>
      <c r="BJ41" s="26"/>
      <c r="BK41" s="26" t="s">
        <v>384</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343</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57</v>
      </c>
      <c r="K42" s="26"/>
      <c r="L42" s="26" t="s">
        <v>318</v>
      </c>
      <c r="M42" s="26">
        <f>M41*2.2</f>
        <v>4.4000000000000004</v>
      </c>
      <c r="N42" s="26">
        <f>N41*2</f>
        <v>6</v>
      </c>
      <c r="O42" s="26"/>
      <c r="P42" s="26"/>
      <c r="Q42" s="26"/>
      <c r="R42" s="26"/>
      <c r="S42" s="26"/>
      <c r="T42" s="26"/>
      <c r="U42" s="26"/>
      <c r="V42" s="26"/>
      <c r="W42" s="26"/>
      <c r="X42" s="26"/>
      <c r="Y42" s="26"/>
      <c r="Z42" s="26"/>
      <c r="AA42" s="26" t="s">
        <v>255</v>
      </c>
      <c r="AB42" s="26">
        <f>BG61</f>
        <v>33</v>
      </c>
      <c r="AC42" s="26"/>
      <c r="AD42" s="26"/>
      <c r="AE42" s="26" t="s">
        <v>385</v>
      </c>
      <c r="AF42" s="26" t="e">
        <f>#REF!*AF41</f>
        <v>#REF!</v>
      </c>
      <c r="AG42" s="26"/>
      <c r="AH42" s="26"/>
      <c r="AI42" s="26"/>
      <c r="AJ42" s="26"/>
      <c r="AK42" s="26"/>
      <c r="AL42" s="26"/>
      <c r="AM42" s="26"/>
      <c r="AN42" s="26"/>
      <c r="AO42" s="26">
        <f>ROUND((AK25-AO41)/365.25,2)</f>
        <v>0.08</v>
      </c>
      <c r="AP42" s="26"/>
      <c r="AQ42" s="26"/>
      <c r="AR42" s="26"/>
      <c r="AS42" s="26" t="s">
        <v>386</v>
      </c>
      <c r="AT42" s="26" t="s">
        <v>387</v>
      </c>
      <c r="AU42" s="26"/>
      <c r="AV42" s="26"/>
      <c r="AW42" s="26"/>
      <c r="AX42" s="26" t="s">
        <v>388</v>
      </c>
      <c r="AY42" s="26"/>
      <c r="AZ42" s="26" t="e">
        <f>#REF!</f>
        <v>#REF!</v>
      </c>
      <c r="BA42" s="26" t="s">
        <v>389</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343</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57</v>
      </c>
      <c r="K43" s="26"/>
      <c r="L43" s="26" t="s">
        <v>329</v>
      </c>
      <c r="M43" s="26"/>
      <c r="N43" s="26"/>
      <c r="O43" s="26"/>
      <c r="P43" s="26" t="s">
        <v>57</v>
      </c>
      <c r="Q43" s="26"/>
      <c r="R43" s="26"/>
      <c r="S43" s="26"/>
      <c r="T43" s="26"/>
      <c r="U43" s="26"/>
      <c r="V43" s="26"/>
      <c r="W43" s="26"/>
      <c r="X43" s="26"/>
      <c r="Y43" s="26"/>
      <c r="Z43" s="26"/>
      <c r="AA43" s="26" t="s">
        <v>2</v>
      </c>
      <c r="AB43" s="26">
        <f>IF(W18&gt;36,36,W18)</f>
        <v>1</v>
      </c>
      <c r="AC43" s="26"/>
      <c r="AD43" s="26"/>
      <c r="AE43" s="26" t="s">
        <v>390</v>
      </c>
      <c r="AF43" s="26"/>
      <c r="AG43" s="26"/>
      <c r="AH43" s="26"/>
      <c r="AI43" s="26" t="s">
        <v>391</v>
      </c>
      <c r="AJ43" s="26" t="s">
        <v>392</v>
      </c>
      <c r="AK43" s="26"/>
      <c r="AL43" s="26"/>
      <c r="AM43" s="26"/>
      <c r="AN43" s="26"/>
      <c r="AO43" s="26"/>
      <c r="AP43" s="26"/>
      <c r="AQ43" s="26"/>
      <c r="AR43" s="26"/>
      <c r="AS43" s="26">
        <v>22</v>
      </c>
      <c r="AT43" s="26">
        <v>43</v>
      </c>
      <c r="AU43" s="26"/>
      <c r="AV43" s="26"/>
      <c r="AW43" s="26"/>
      <c r="AX43" s="26" t="s">
        <v>57</v>
      </c>
      <c r="AY43" s="26">
        <v>12</v>
      </c>
      <c r="AZ43" s="26" t="s">
        <v>393</v>
      </c>
      <c r="BA43" s="26" t="e">
        <f>12*AZ42</f>
        <v>#REF!</v>
      </c>
      <c r="BB43" s="26"/>
      <c r="BC43" s="26"/>
      <c r="BD43" s="26"/>
      <c r="BE43" s="26"/>
      <c r="BF43" s="26" t="s">
        <v>57</v>
      </c>
      <c r="BG43" s="26"/>
      <c r="BH43" s="26"/>
      <c r="BI43" s="26"/>
      <c r="BJ43" s="26" t="s">
        <v>394</v>
      </c>
      <c r="BK43" s="26"/>
      <c r="BL43" s="26"/>
      <c r="BM43" s="26"/>
      <c r="BN43" s="26"/>
      <c r="BO43" s="26"/>
      <c r="BP43" s="26"/>
      <c r="BQ43" s="26" t="s">
        <v>395</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396</v>
      </c>
      <c r="CW43" s="26">
        <v>63.5</v>
      </c>
      <c r="CX43" s="26"/>
      <c r="CY43" s="26"/>
      <c r="CZ43" s="26">
        <v>32</v>
      </c>
      <c r="DA43" s="26">
        <v>56.1</v>
      </c>
      <c r="DB43" s="26">
        <v>56.14</v>
      </c>
      <c r="DC43" s="26"/>
      <c r="DD43" s="26"/>
      <c r="DE43" s="26"/>
      <c r="DF43" s="26"/>
      <c r="DG43" s="26"/>
      <c r="DH43" s="26"/>
      <c r="DI43" s="26"/>
      <c r="DJ43" s="26"/>
      <c r="DK43" s="26"/>
      <c r="DL43" s="26" t="s">
        <v>397</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57</v>
      </c>
      <c r="K44" s="26"/>
      <c r="L44" s="26" t="s">
        <v>336</v>
      </c>
      <c r="M44" s="26"/>
      <c r="N44" s="26"/>
      <c r="O44" s="26" t="s">
        <v>276</v>
      </c>
      <c r="P44" s="26" t="e">
        <f t="shared" ref="P44:P61" si="3">HLOOKUP($C$5,$G$115:$L$132,ROW()-43,0)</f>
        <v>#N/A</v>
      </c>
      <c r="Q44" s="26"/>
      <c r="R44" s="26" t="s">
        <v>276</v>
      </c>
      <c r="S44" s="26"/>
      <c r="T44" s="26"/>
      <c r="U44" s="26"/>
      <c r="V44" s="26"/>
      <c r="W44" s="26"/>
      <c r="X44" s="26"/>
      <c r="Y44" s="26"/>
      <c r="Z44" s="26"/>
      <c r="AA44" s="26" t="s">
        <v>398</v>
      </c>
      <c r="AB44" s="26">
        <v>1</v>
      </c>
      <c r="AC44" s="26"/>
      <c r="AD44" s="26"/>
      <c r="AE44" s="26" t="e">
        <f>IF(#REF!&gt;0,#REF!/'[1]נתוני מס'!N16,0)</f>
        <v>#REF!</v>
      </c>
      <c r="AF44" s="26" t="s">
        <v>399</v>
      </c>
      <c r="AG44" s="26" t="s">
        <v>400</v>
      </c>
      <c r="AH44" s="26" t="s">
        <v>196</v>
      </c>
      <c r="AI44" s="26"/>
      <c r="AJ44" s="26">
        <f>C151</f>
        <v>174.47</v>
      </c>
      <c r="AK44" s="26"/>
      <c r="AL44" s="26"/>
      <c r="AM44" s="26"/>
      <c r="AN44" s="26"/>
      <c r="AO44" s="26"/>
      <c r="AP44" s="26"/>
      <c r="AQ44" s="26"/>
      <c r="AR44" s="26"/>
      <c r="AS44" s="26" t="s">
        <v>401</v>
      </c>
      <c r="AT44" s="26" t="s">
        <v>402</v>
      </c>
      <c r="AU44" s="26"/>
      <c r="AV44" s="26"/>
      <c r="AW44" s="26"/>
      <c r="AX44" s="26" t="s">
        <v>403</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404</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57</v>
      </c>
      <c r="K45" s="26"/>
      <c r="L45" s="26" t="s">
        <v>345</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405</v>
      </c>
      <c r="AG45" s="26" t="s">
        <v>406</v>
      </c>
      <c r="AH45" s="26" t="s">
        <v>69</v>
      </c>
      <c r="AI45" s="26"/>
      <c r="AJ45" s="26"/>
      <c r="AK45" s="26" t="s">
        <v>407</v>
      </c>
      <c r="AL45" s="26">
        <f>IF(AB17=AH44,0.01%,0)</f>
        <v>0</v>
      </c>
      <c r="AM45" s="26"/>
      <c r="AN45" s="26"/>
      <c r="AO45" s="26" t="s">
        <v>349</v>
      </c>
      <c r="AP45" s="26"/>
      <c r="AQ45" s="26"/>
      <c r="AR45" s="26"/>
      <c r="AS45" s="26">
        <v>23</v>
      </c>
      <c r="AT45" s="26">
        <v>44</v>
      </c>
      <c r="AU45" s="26"/>
      <c r="AV45" s="26"/>
      <c r="AW45" s="26"/>
      <c r="AX45" s="26"/>
      <c r="AY45" s="26"/>
      <c r="AZ45" s="26" t="s">
        <v>408</v>
      </c>
      <c r="BA45" s="26" t="e">
        <f>BF48</f>
        <v>#REF!</v>
      </c>
      <c r="BB45" s="26"/>
      <c r="BC45" s="26" t="s">
        <v>409</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326</v>
      </c>
      <c r="K46" s="26" t="e">
        <f>#REF!*0.05*L46</f>
        <v>#REF!</v>
      </c>
      <c r="L46" s="26">
        <v>0</v>
      </c>
      <c r="M46" s="26"/>
      <c r="N46" s="26"/>
      <c r="O46" s="26">
        <v>1.5</v>
      </c>
      <c r="P46" s="26" t="e">
        <f t="shared" si="3"/>
        <v>#N/A</v>
      </c>
      <c r="Q46" s="26"/>
      <c r="R46" s="26">
        <v>1.5</v>
      </c>
      <c r="S46" s="26">
        <v>1104.83</v>
      </c>
      <c r="T46" s="26"/>
      <c r="U46" s="26"/>
      <c r="V46" s="26"/>
      <c r="W46" s="26"/>
      <c r="X46" s="26"/>
      <c r="Y46" s="26"/>
      <c r="Z46" s="26"/>
      <c r="AA46" s="26" t="s">
        <v>410</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411</v>
      </c>
      <c r="AT46" s="26" t="s">
        <v>412</v>
      </c>
      <c r="AU46" s="26"/>
      <c r="AV46" s="26"/>
      <c r="AW46" s="26"/>
      <c r="AX46" s="26"/>
      <c r="AY46" s="26"/>
      <c r="AZ46" s="26"/>
      <c r="BA46" s="26"/>
      <c r="BB46" s="26"/>
      <c r="BC46" s="26" t="s">
        <v>413</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414</v>
      </c>
      <c r="M47" s="26" t="e">
        <f>VLOOKUP(I31,טור12,2,0)</f>
        <v>#N/A</v>
      </c>
      <c r="N47" s="26"/>
      <c r="O47" s="26">
        <v>2</v>
      </c>
      <c r="P47" s="26" t="e">
        <f t="shared" si="3"/>
        <v>#N/A</v>
      </c>
      <c r="Q47" s="26"/>
      <c r="R47" s="26">
        <v>2</v>
      </c>
      <c r="S47" s="26">
        <v>1036.1400000000001</v>
      </c>
      <c r="T47" s="26"/>
      <c r="U47" s="26"/>
      <c r="V47" s="26"/>
      <c r="W47" s="26"/>
      <c r="X47" s="26"/>
      <c r="Y47" s="26"/>
      <c r="Z47" s="26" t="s">
        <v>415</v>
      </c>
      <c r="AA47" s="26"/>
      <c r="AB47" s="26"/>
      <c r="AC47" s="26"/>
      <c r="AD47" s="26"/>
      <c r="AE47" s="26"/>
      <c r="AF47" s="26" t="s">
        <v>416</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384</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299</v>
      </c>
      <c r="M48" s="26">
        <f>IF(H42=0,0,H44-M47)</f>
        <v>0</v>
      </c>
      <c r="N48" s="26"/>
      <c r="O48" s="26">
        <v>2.5</v>
      </c>
      <c r="P48" s="26" t="e">
        <f t="shared" si="3"/>
        <v>#N/A</v>
      </c>
      <c r="Q48" s="26"/>
      <c r="R48" s="26">
        <v>2.5</v>
      </c>
      <c r="S48" s="26">
        <v>952.99</v>
      </c>
      <c r="T48" s="26"/>
      <c r="U48" s="26"/>
      <c r="V48" s="26"/>
      <c r="W48" s="26"/>
      <c r="X48" s="26"/>
      <c r="Y48" s="26"/>
      <c r="Z48" s="26"/>
      <c r="AA48" s="26" t="s">
        <v>417</v>
      </c>
      <c r="AB48" s="26" t="e">
        <f>#REF!+(#REF!+#REF!+#REF!)/12</f>
        <v>#REF!</v>
      </c>
      <c r="AC48" s="26"/>
      <c r="AD48" s="26"/>
      <c r="AE48" s="26"/>
      <c r="AF48" s="26"/>
      <c r="AG48" s="26" t="s">
        <v>57</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418</v>
      </c>
      <c r="M49" s="26" t="e">
        <f>M47+M48</f>
        <v>#N/A</v>
      </c>
      <c r="N49" s="26"/>
      <c r="O49" s="26">
        <v>3</v>
      </c>
      <c r="P49" s="26" t="e">
        <f t="shared" si="3"/>
        <v>#N/A</v>
      </c>
      <c r="Q49" s="26"/>
      <c r="R49" s="26">
        <v>3</v>
      </c>
      <c r="S49" s="26">
        <v>869.86</v>
      </c>
      <c r="T49" s="26"/>
      <c r="U49" s="26"/>
      <c r="V49" s="26" t="s">
        <v>57</v>
      </c>
      <c r="W49" s="26"/>
      <c r="X49" s="26"/>
      <c r="Y49" s="26"/>
      <c r="Z49" s="26" t="e">
        <f>(1-#REF!/#REF!)*#REF!</f>
        <v>#REF!</v>
      </c>
      <c r="AA49" s="26" t="s">
        <v>419</v>
      </c>
      <c r="AB49" s="26" t="e">
        <f>#REF!+(#REF!+#REF!)/12</f>
        <v>#REF!</v>
      </c>
      <c r="AC49" s="26"/>
      <c r="AD49" s="26"/>
      <c r="AE49" s="26"/>
      <c r="AF49" s="26"/>
      <c r="AG49" s="26" t="s">
        <v>57</v>
      </c>
      <c r="AH49" s="26"/>
      <c r="AI49" s="26"/>
      <c r="AJ49" s="26"/>
      <c r="AK49" s="26"/>
      <c r="AL49" s="26"/>
      <c r="AM49" s="26"/>
      <c r="AN49" s="26"/>
      <c r="AO49" s="26"/>
      <c r="AP49" s="26"/>
      <c r="AQ49" s="26"/>
      <c r="AR49" s="26"/>
      <c r="AS49" s="26" t="s">
        <v>420</v>
      </c>
      <c r="AT49" s="26" t="s">
        <v>421</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422</v>
      </c>
      <c r="AB50" s="26" t="e">
        <f>#REF!</f>
        <v>#REF!</v>
      </c>
      <c r="AC50" s="26"/>
      <c r="AD50" s="26"/>
      <c r="AE50" s="26"/>
      <c r="AF50" s="26"/>
      <c r="AG50" s="26" t="s">
        <v>57</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57</v>
      </c>
      <c r="AB51" s="26"/>
      <c r="AC51" s="26"/>
      <c r="AD51" s="26"/>
      <c r="AE51" s="26"/>
      <c r="AF51" s="26"/>
      <c r="AG51" s="26" t="s">
        <v>57</v>
      </c>
      <c r="AH51" s="26"/>
      <c r="AI51" s="26"/>
      <c r="AJ51" s="26"/>
      <c r="AK51" s="26"/>
      <c r="AL51" s="26"/>
      <c r="AM51" s="26"/>
      <c r="AN51" s="26"/>
      <c r="AO51" s="26"/>
      <c r="AP51" s="26"/>
      <c r="AQ51" s="26"/>
      <c r="AR51" s="26"/>
      <c r="AS51" s="26" t="s">
        <v>423</v>
      </c>
      <c r="AT51" s="26" t="s">
        <v>424</v>
      </c>
      <c r="AU51" s="26"/>
      <c r="AV51" s="26"/>
      <c r="AW51" s="26"/>
      <c r="AX51" s="26"/>
      <c r="AY51" s="26"/>
      <c r="AZ51" s="26"/>
      <c r="BA51" s="26"/>
      <c r="BB51" s="26"/>
      <c r="BC51" s="26"/>
      <c r="BD51" s="26"/>
      <c r="BE51" s="26" t="s">
        <v>425</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426</v>
      </c>
      <c r="L53" s="26" t="s">
        <v>427</v>
      </c>
      <c r="M53" s="26"/>
      <c r="N53" s="26"/>
      <c r="O53" s="26">
        <v>5</v>
      </c>
      <c r="P53" s="26" t="e">
        <f t="shared" si="3"/>
        <v>#N/A</v>
      </c>
      <c r="Q53" s="26"/>
      <c r="R53" s="26">
        <v>5</v>
      </c>
      <c r="S53" s="26">
        <v>593.47</v>
      </c>
      <c r="T53" s="26"/>
      <c r="U53" s="26"/>
      <c r="V53" s="26"/>
      <c r="W53" s="26"/>
      <c r="X53" s="26"/>
      <c r="Y53" s="26"/>
      <c r="Z53" s="26"/>
      <c r="AA53" s="26" t="s">
        <v>428</v>
      </c>
      <c r="AB53" s="26"/>
      <c r="AC53" s="26" t="s">
        <v>422</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429</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430</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431</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57</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432</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273</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267</v>
      </c>
      <c r="K65" s="26" t="s">
        <v>433</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434</v>
      </c>
      <c r="BG65" s="26" t="s">
        <v>82</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0</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377</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435</v>
      </c>
      <c r="BG67" s="26" t="s">
        <v>113</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436</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405</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437</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438</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439</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440</v>
      </c>
      <c r="S71" s="26" t="s">
        <v>441</v>
      </c>
      <c r="T71" s="26" t="s">
        <v>9</v>
      </c>
      <c r="U71" s="26" t="s">
        <v>442</v>
      </c>
      <c r="V71" s="26" t="s">
        <v>443</v>
      </c>
      <c r="W71" s="26" t="s">
        <v>444</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445</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249</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374</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446</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0</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447</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0</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449</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451</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276</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57</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57</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452</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57</v>
      </c>
      <c r="AL90" s="26"/>
      <c r="AM90" s="26"/>
      <c r="AN90" s="26"/>
      <c r="AO90" s="26"/>
      <c r="AP90" s="26"/>
      <c r="AQ90" s="26"/>
      <c r="AR90" s="26"/>
      <c r="AS90" s="26"/>
      <c r="AT90" s="26"/>
      <c r="AU90" s="26"/>
      <c r="AV90" s="26"/>
      <c r="AW90" s="26"/>
      <c r="AX90" s="26"/>
      <c r="AY90" s="26" t="s">
        <v>453</v>
      </c>
      <c r="AZ90" s="26"/>
      <c r="BA90" s="26"/>
      <c r="BB90" s="26" t="e">
        <f>IF(BC90&gt;'[1]נתוני מס'!L28*'[1]נתוני מס'!M28,'[1]נתוני מס'!L28*'[1]נתוני מס'!M28,BC90)</f>
        <v>#REF!</v>
      </c>
      <c r="BC90" s="26" t="e">
        <f>((BG77-(Q26*AJ30*12+AJ33+#REF!+#REF!))*'[1]נתוני מס'!L28)/12</f>
        <v>#REF!</v>
      </c>
      <c r="BD90" s="26"/>
      <c r="BE90" s="26"/>
      <c r="BF90" s="26"/>
      <c r="BG90" s="26"/>
      <c r="BH90" s="26" t="s">
        <v>454</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455</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57</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456</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457</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458</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57</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459</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460</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461</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57</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462</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283</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57</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57</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463</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202</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57</v>
      </c>
      <c r="AB103" s="26" t="s">
        <v>57</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464</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465</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466</v>
      </c>
      <c r="R107" s="26" t="s">
        <v>467</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468</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469</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470</v>
      </c>
      <c r="R110" s="26" t="e">
        <f>#REF!</f>
        <v>#REF!</v>
      </c>
      <c r="S110" s="26" t="e">
        <f>#REF!</f>
        <v>#REF!</v>
      </c>
      <c r="T110" s="26"/>
      <c r="U110" s="26"/>
      <c r="V110" s="26" t="s">
        <v>448</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471</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472</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473</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474</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475</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476</v>
      </c>
      <c r="C139" s="26"/>
      <c r="D139" s="26"/>
      <c r="E139" s="26"/>
      <c r="F139" s="26"/>
      <c r="G139" s="26"/>
      <c r="H139" s="26" t="s">
        <v>477</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478</v>
      </c>
      <c r="C140" s="26" t="s">
        <v>479</v>
      </c>
      <c r="D140" s="26" t="s">
        <v>480</v>
      </c>
      <c r="E140" s="26" t="s">
        <v>481</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482</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483</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484</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485</v>
      </c>
      <c r="C144" s="26">
        <v>0.27</v>
      </c>
      <c r="D144" s="26">
        <v>0.37</v>
      </c>
      <c r="E144" s="26">
        <f>C144+12.5%</f>
        <v>0.39500000000000002</v>
      </c>
      <c r="F144" s="26">
        <f>IF(C14&gt;0,30*C9-3,30*C9)</f>
        <v>0.3</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486</v>
      </c>
      <c r="C145" s="26">
        <v>0.16</v>
      </c>
      <c r="D145" s="26"/>
      <c r="E145" s="26" t="s">
        <v>487</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488</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489</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490</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436</v>
      </c>
      <c r="H149" s="26" t="s">
        <v>491</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69</v>
      </c>
      <c r="C150" s="26">
        <v>156.88</v>
      </c>
      <c r="D150" s="26" t="s">
        <v>72</v>
      </c>
      <c r="E150" s="26"/>
      <c r="F150" s="26"/>
      <c r="G150" s="26" t="s">
        <v>437</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450</v>
      </c>
      <c r="C151" s="26">
        <v>174.47</v>
      </c>
      <c r="D151" s="26" t="s">
        <v>208</v>
      </c>
      <c r="E151" s="26" t="e">
        <f>(VLOOKUP($I$32,O45:P61,2,0))</f>
        <v>#N/A</v>
      </c>
      <c r="F151" s="26"/>
      <c r="G151" s="26" t="s">
        <v>492</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248</v>
      </c>
      <c r="E152" s="26">
        <v>1</v>
      </c>
      <c r="F152" s="26"/>
      <c r="G152" s="26"/>
      <c r="H152" s="26" t="s">
        <v>493</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276</v>
      </c>
      <c r="H153" s="26">
        <f>AA35/12</f>
        <v>0</v>
      </c>
      <c r="I153" s="26" t="s">
        <v>494</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495</v>
      </c>
      <c r="C154" s="26"/>
      <c r="D154" s="26">
        <v>5571</v>
      </c>
      <c r="E154" s="26"/>
      <c r="F154" s="26">
        <v>0</v>
      </c>
      <c r="G154" s="26">
        <v>1</v>
      </c>
      <c r="H154" s="26">
        <f>IF(ABS(BG61-AP31+AY29)&lt;0.26,0,BG61-AP31+AY29)</f>
        <v>112.67</v>
      </c>
      <c r="I154" s="26" t="s">
        <v>57</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496</v>
      </c>
      <c r="C155" s="26" t="s">
        <v>69</v>
      </c>
      <c r="D155" s="26" t="e">
        <f>(VLOOKUP($I$32,R45:S61,2,0))</f>
        <v>#N/A</v>
      </c>
      <c r="E155" s="26"/>
      <c r="F155" s="26">
        <v>0</v>
      </c>
      <c r="G155" s="26">
        <v>1.5</v>
      </c>
      <c r="H155" s="26">
        <f>(ROUND((ROUND((AK25-AQ22)/365.25,4))*12,2)/12)</f>
        <v>32.415833333333332</v>
      </c>
      <c r="I155" s="26" t="s">
        <v>57</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57</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57</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497</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498</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499</v>
      </c>
      <c r="D162" s="26">
        <v>5</v>
      </c>
      <c r="E162" s="26"/>
      <c r="F162" s="26"/>
      <c r="G162" s="26">
        <v>5</v>
      </c>
      <c r="H162" s="26" t="s">
        <v>500</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501</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502</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503</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504</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505</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506</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69</v>
      </c>
      <c r="C169" s="26" t="s">
        <v>507</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508</v>
      </c>
      <c r="D170" s="26"/>
      <c r="E170" s="26"/>
      <c r="F170" s="26"/>
      <c r="G170" s="26">
        <v>9</v>
      </c>
      <c r="H170" s="26" t="s">
        <v>57</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509</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510</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57</v>
      </c>
      <c r="C173" s="26"/>
      <c r="D173" s="26"/>
      <c r="E173" s="26"/>
      <c r="F173" s="26" t="s">
        <v>196</v>
      </c>
      <c r="G173" s="26"/>
      <c r="H173" s="26" t="s">
        <v>511</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512</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513</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514</v>
      </c>
      <c r="D177" s="26" t="s">
        <v>57</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515</v>
      </c>
      <c r="D178" s="26" t="s">
        <v>516</v>
      </c>
      <c r="E178" s="26"/>
      <c r="F178" s="26" t="s">
        <v>517</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475</v>
      </c>
      <c r="D179" s="26" t="s">
        <v>518</v>
      </c>
      <c r="E179" s="26"/>
      <c r="F179" s="26" t="s">
        <v>519</v>
      </c>
      <c r="G179" s="26" t="e">
        <f>#REF!</f>
        <v>#REF!</v>
      </c>
      <c r="H179" s="26"/>
      <c r="I179" s="26" t="s">
        <v>57</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520</v>
      </c>
      <c r="D180" s="26" t="s">
        <v>474</v>
      </c>
      <c r="E180" s="26"/>
      <c r="F180" s="26" t="s">
        <v>521</v>
      </c>
      <c r="G180" s="26">
        <f>G202</f>
        <v>52.87</v>
      </c>
      <c r="H180" s="26"/>
      <c r="I180" s="26" t="s">
        <v>57</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522</v>
      </c>
      <c r="D181" s="26" t="s">
        <v>523</v>
      </c>
      <c r="E181" s="26"/>
      <c r="F181" s="26"/>
      <c r="G181" s="26" t="s">
        <v>524</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525</v>
      </c>
      <c r="D182" s="26" t="s">
        <v>526</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527</v>
      </c>
      <c r="D183" s="26" t="s">
        <v>477</v>
      </c>
      <c r="E183" s="26"/>
      <c r="F183" s="26" t="e">
        <f>#REF!/#REF!*F187</f>
        <v>#REF!</v>
      </c>
      <c r="G183" s="26" t="s">
        <v>528</v>
      </c>
      <c r="H183" s="26"/>
      <c r="I183" s="26"/>
      <c r="J183" s="26" t="s">
        <v>57</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529</v>
      </c>
      <c r="D184" s="26"/>
      <c r="E184" s="26"/>
      <c r="F184" s="26" t="e">
        <f>#REF!/#REF!*F187</f>
        <v>#REF!</v>
      </c>
      <c r="G184" s="26" t="s">
        <v>530</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531</v>
      </c>
      <c r="E185" s="26"/>
      <c r="F185" s="26" t="e">
        <f>#REF!/#REF!*F187</f>
        <v>#REF!</v>
      </c>
      <c r="G185" s="26" t="s">
        <v>532</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533</v>
      </c>
      <c r="C186" s="26" t="str">
        <f>C5</f>
        <v>ב"א</v>
      </c>
      <c r="D186" s="26"/>
      <c r="E186" s="26"/>
      <c r="F186" s="26" t="e">
        <f>#REF!/#REF!*F187</f>
        <v>#REF!</v>
      </c>
      <c r="G186" s="26" t="s">
        <v>534</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535</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536</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537</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538</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539</v>
      </c>
      <c r="C193" s="26" t="s">
        <v>540</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541</v>
      </c>
      <c r="D194" s="26" t="s">
        <v>57</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542</v>
      </c>
      <c r="D195" s="26" t="s">
        <v>57</v>
      </c>
      <c r="E195" s="26"/>
      <c r="F195" s="26"/>
      <c r="G195" s="26" t="s">
        <v>543</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544</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545</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546</v>
      </c>
      <c r="D198" s="26" t="e">
        <f>IF(#REF!=0,#REF!,TRUNC(#REF!,2)&amp; "  :מספר משכורות")</f>
        <v>#REF!</v>
      </c>
      <c r="E198" s="26"/>
      <c r="F198" s="26" t="s">
        <v>57</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547</v>
      </c>
      <c r="D199" s="26" t="s">
        <v>548</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549</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550</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551</v>
      </c>
      <c r="D203" s="26"/>
      <c r="E203" s="26"/>
      <c r="F203" s="26" t="s">
        <v>552</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553</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554</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555</v>
      </c>
      <c r="C206" s="26"/>
      <c r="D206" s="26"/>
      <c r="E206" s="26"/>
      <c r="F206" s="26">
        <v>0</v>
      </c>
      <c r="G206" s="26"/>
      <c r="H206" s="26"/>
      <c r="I206" s="26" t="s">
        <v>60</v>
      </c>
      <c r="J206" s="26" t="s">
        <v>556</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557</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57</v>
      </c>
      <c r="C208" s="26" t="s">
        <v>558</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57</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543</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57</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559</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560</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57</v>
      </c>
      <c r="C234" s="26" t="s">
        <v>561</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53</v>
      </c>
      <c r="S704" s="26">
        <f>IF(BB770-INT(BB770)=0.5,1,0)</f>
        <v>0</v>
      </c>
      <c r="T704" s="26">
        <f>IF(S704=0,0,IF(BB770&lt;=7,3.75,4.25))</f>
        <v>0</v>
      </c>
      <c r="U704" s="26"/>
      <c r="V704" s="26" t="s">
        <v>54</v>
      </c>
      <c r="W704" s="26"/>
      <c r="X704" s="26"/>
      <c r="Y704" s="26"/>
      <c r="Z704" s="26"/>
      <c r="AA704" s="26"/>
      <c r="AB704" s="26"/>
      <c r="AC704" s="26"/>
      <c r="AD704" s="26"/>
      <c r="AE704" s="26"/>
      <c r="AF704" s="26"/>
      <c r="AG704" s="26"/>
      <c r="AH704" s="26"/>
      <c r="AI704" s="26" t="s">
        <v>55</v>
      </c>
      <c r="AJ704" s="26"/>
      <c r="AK704" s="26"/>
      <c r="AL704" s="26"/>
      <c r="AM704" s="26"/>
      <c r="AN704" s="26"/>
      <c r="AO704" s="26"/>
      <c r="AP704" s="26"/>
      <c r="AQ704" s="26"/>
      <c r="AR704" s="26"/>
      <c r="AS704" s="26"/>
      <c r="AT704" s="26"/>
      <c r="AU704" s="26"/>
      <c r="AV704" s="26" t="s">
        <v>56</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61</v>
      </c>
      <c r="P705" s="26" t="s">
        <v>27</v>
      </c>
      <c r="Q705" s="26"/>
      <c r="R705" s="26" t="s">
        <v>62</v>
      </c>
      <c r="S705" s="26">
        <v>0.03</v>
      </c>
      <c r="T705" s="26">
        <f>1+(T704/100)</f>
        <v>1</v>
      </c>
      <c r="U705" s="26"/>
      <c r="V705" s="26">
        <v>0</v>
      </c>
      <c r="W705" s="26">
        <v>0</v>
      </c>
      <c r="X705" s="26"/>
      <c r="Y705" s="26" t="s">
        <v>63</v>
      </c>
      <c r="Z705" s="26"/>
      <c r="AA705" s="26"/>
      <c r="AB705" s="26"/>
      <c r="AC705" s="26"/>
      <c r="AD705" s="26"/>
      <c r="AE705" s="26"/>
      <c r="AF705" s="26"/>
      <c r="AG705" s="26"/>
      <c r="AH705" s="26"/>
      <c r="AI705" s="26" t="s">
        <v>64</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68</v>
      </c>
      <c r="P706" s="26" t="s">
        <v>69</v>
      </c>
      <c r="Q706" s="26"/>
      <c r="R706" s="26" t="s">
        <v>70</v>
      </c>
      <c r="S706" s="26">
        <v>4.8099999999999997E-2</v>
      </c>
      <c r="T706" s="26"/>
      <c r="U706" s="26"/>
      <c r="V706" s="26">
        <v>1</v>
      </c>
      <c r="W706" s="26">
        <v>0.47499999999999998</v>
      </c>
      <c r="X706" s="26" t="s">
        <v>57</v>
      </c>
      <c r="Y706" s="26">
        <v>0.09</v>
      </c>
      <c r="Z706" s="26" t="s">
        <v>71</v>
      </c>
      <c r="AA706" s="26"/>
      <c r="AB706" s="26"/>
      <c r="AC706" s="26"/>
      <c r="AD706" s="26"/>
      <c r="AE706" s="26" t="s">
        <v>495</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73</v>
      </c>
      <c r="P707" s="26" t="s">
        <v>74</v>
      </c>
      <c r="Q707" s="26"/>
      <c r="R707" s="26"/>
      <c r="S707" s="26"/>
      <c r="T707" s="26"/>
      <c r="U707" s="26"/>
      <c r="V707" s="26">
        <v>2</v>
      </c>
      <c r="W707" s="26">
        <v>0.495</v>
      </c>
      <c r="X707" s="26" t="s">
        <v>57</v>
      </c>
      <c r="Y707" s="26">
        <v>8.2500000000000004E-2</v>
      </c>
      <c r="Z707" s="26" t="s">
        <v>75</v>
      </c>
      <c r="AA707" s="26"/>
      <c r="AB707" s="26"/>
      <c r="AC707" s="26"/>
      <c r="AD707" s="26"/>
      <c r="AE707" s="26" t="s">
        <v>155</v>
      </c>
      <c r="AF707" s="26" t="s">
        <v>69</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57</v>
      </c>
      <c r="Y708" s="26">
        <v>7.4999999999999997E-2</v>
      </c>
      <c r="Z708" s="26" t="s">
        <v>78</v>
      </c>
      <c r="AA708" s="26"/>
      <c r="AB708" s="26"/>
      <c r="AC708" s="26"/>
      <c r="AD708" s="26"/>
      <c r="AE708" s="26" t="s">
        <v>195</v>
      </c>
      <c r="AF708" s="26" t="s">
        <v>69</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82</v>
      </c>
      <c r="T709" s="26"/>
      <c r="U709" s="26"/>
      <c r="V709" s="26">
        <v>4</v>
      </c>
      <c r="W709" s="26">
        <v>0.53</v>
      </c>
      <c r="X709" s="26" t="s">
        <v>57</v>
      </c>
      <c r="Y709" s="26">
        <v>6.7500000000000004E-2</v>
      </c>
      <c r="Z709" s="26" t="s">
        <v>83</v>
      </c>
      <c r="AA709" s="26"/>
      <c r="AB709" s="26"/>
      <c r="AC709" s="26"/>
      <c r="AD709" s="26"/>
      <c r="AE709" s="26" t="s">
        <v>562</v>
      </c>
      <c r="AF709" s="26" t="s">
        <v>69</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65.760000000000005</v>
      </c>
      <c r="P710" s="26" t="s">
        <v>87</v>
      </c>
      <c r="Q710" s="26">
        <f>ROUND((AF735-AT720)/365.25,2)</f>
        <v>0.36</v>
      </c>
      <c r="R710" s="26"/>
      <c r="S710" s="26" t="s">
        <v>6</v>
      </c>
      <c r="T710" s="26"/>
      <c r="U710" s="26"/>
      <c r="V710" s="26">
        <v>5</v>
      </c>
      <c r="W710" s="26">
        <v>0.54500000000000004</v>
      </c>
      <c r="X710" s="26" t="s">
        <v>57</v>
      </c>
      <c r="Y710" s="26">
        <v>0.06</v>
      </c>
      <c r="Z710" s="26" t="s">
        <v>88</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-5.7600000000000051</v>
      </c>
      <c r="P711" s="26" t="s">
        <v>94</v>
      </c>
      <c r="Q711" s="26">
        <f ca="1">Q710+O711</f>
        <v>-5.4000000000000048</v>
      </c>
      <c r="R711" s="26"/>
      <c r="S711" s="26" t="s">
        <v>95</v>
      </c>
      <c r="T711" s="26"/>
      <c r="U711" s="26"/>
      <c r="V711" s="26">
        <v>6</v>
      </c>
      <c r="W711" s="26">
        <v>0.56499999999999995</v>
      </c>
      <c r="X711" s="26" t="s">
        <v>57</v>
      </c>
      <c r="Y711" s="26">
        <v>5.2499999999999998E-2</v>
      </c>
      <c r="Z711" s="26" t="s">
        <v>96</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563</v>
      </c>
      <c r="BD711" s="26" t="s">
        <v>69</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27.239999999999995</v>
      </c>
      <c r="P712" s="26" t="s">
        <v>102</v>
      </c>
      <c r="Q712" s="26">
        <f>E928</f>
        <v>0</v>
      </c>
      <c r="R712" s="26" t="s">
        <v>103</v>
      </c>
      <c r="S712" s="26" t="s">
        <v>104</v>
      </c>
      <c r="T712" s="26"/>
      <c r="U712" s="26"/>
      <c r="V712" s="26">
        <v>7</v>
      </c>
      <c r="W712" s="26">
        <v>0.58499999999999996</v>
      </c>
      <c r="X712" s="26" t="s">
        <v>57</v>
      </c>
      <c r="Y712" s="26">
        <v>4.4999999999999998E-2</v>
      </c>
      <c r="Z712" s="26" t="s">
        <v>105</v>
      </c>
      <c r="AA712" s="26"/>
      <c r="AB712" s="26"/>
      <c r="AC712" s="26"/>
      <c r="AD712" s="26"/>
      <c r="AE712" s="26"/>
      <c r="AF712" s="26"/>
      <c r="AG712" s="26"/>
      <c r="AH712" s="26"/>
      <c r="AI712" s="26">
        <v>4</v>
      </c>
      <c r="AJ712" s="26" t="s">
        <v>57</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112</v>
      </c>
      <c r="T713" s="26"/>
      <c r="U713" s="26"/>
      <c r="V713" s="26">
        <v>8</v>
      </c>
      <c r="W713" s="26">
        <v>0.6</v>
      </c>
      <c r="X713" s="26"/>
      <c r="Y713" s="26">
        <v>0</v>
      </c>
      <c r="Z713" s="26" t="s">
        <v>113</v>
      </c>
      <c r="AA713" s="26"/>
      <c r="AB713" s="26"/>
      <c r="AC713" s="26"/>
      <c r="AD713" s="26"/>
      <c r="AE713" s="26"/>
      <c r="AF713" s="26"/>
      <c r="AG713" s="26"/>
      <c r="AH713" s="26"/>
      <c r="AI713" s="26">
        <v>4.5</v>
      </c>
      <c r="AJ713" s="26" t="s">
        <v>57</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57</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57</v>
      </c>
      <c r="U715" s="26"/>
      <c r="V715" s="26">
        <v>1</v>
      </c>
      <c r="W715" s="26">
        <v>0.63500000000000001</v>
      </c>
      <c r="X715" s="26"/>
      <c r="Y715" s="26"/>
      <c r="Z715" s="26"/>
      <c r="AA715" s="26"/>
      <c r="AB715" s="26"/>
      <c r="AC715" s="26"/>
      <c r="AD715" s="26"/>
      <c r="AE715" s="26"/>
      <c r="AF715" s="26"/>
      <c r="AG715" s="26"/>
      <c r="AH715" s="26"/>
      <c r="AI715" s="26">
        <v>5.5</v>
      </c>
      <c r="AJ715" s="26" t="s">
        <v>57</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123</v>
      </c>
      <c r="BV715" s="26" t="s">
        <v>124</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128</v>
      </c>
      <c r="T716" s="26">
        <v>0.05</v>
      </c>
      <c r="U716" s="26"/>
      <c r="V716" s="26">
        <v>11</v>
      </c>
      <c r="W716" s="26">
        <v>0.66</v>
      </c>
      <c r="X716" s="26"/>
      <c r="Y716" s="26" t="s">
        <v>129</v>
      </c>
      <c r="Z716" s="26">
        <v>0</v>
      </c>
      <c r="AA716" s="26"/>
      <c r="AB716" s="26"/>
      <c r="AC716" s="26"/>
      <c r="AD716" s="26"/>
      <c r="AE716" s="26"/>
      <c r="AF716" s="26"/>
      <c r="AG716" s="26"/>
      <c r="AH716" s="26"/>
      <c r="AI716" s="26">
        <v>6</v>
      </c>
      <c r="AJ716" s="26" t="s">
        <v>57</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133</v>
      </c>
      <c r="T717" s="26">
        <v>0.10249999999999999</v>
      </c>
      <c r="U717" s="26"/>
      <c r="V717" s="26">
        <v>12</v>
      </c>
      <c r="W717" s="26">
        <v>0.68</v>
      </c>
      <c r="X717" s="26"/>
      <c r="Y717" s="26" t="s">
        <v>134</v>
      </c>
      <c r="Z717" s="26">
        <f>W754</f>
        <v>1</v>
      </c>
      <c r="AA717" s="26"/>
      <c r="AB717" s="26"/>
      <c r="AC717" s="26">
        <v>5</v>
      </c>
      <c r="AD717" s="26"/>
      <c r="AE717" s="26" t="s">
        <v>135</v>
      </c>
      <c r="AF717" s="26"/>
      <c r="AG717" s="26" t="e">
        <f>#REF!</f>
        <v>#REF!</v>
      </c>
      <c r="AH717" s="26"/>
      <c r="AI717" s="26">
        <v>6.5</v>
      </c>
      <c r="AJ717" s="26" t="s">
        <v>57</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136</v>
      </c>
      <c r="BV717" s="26" t="s">
        <v>137</v>
      </c>
      <c r="BW717" s="26" t="s">
        <v>138</v>
      </c>
      <c r="BX717" s="26"/>
      <c r="BY717" s="26"/>
      <c r="BZ717" s="26"/>
      <c r="CA717" s="26"/>
      <c r="CB717" s="26"/>
      <c r="CC717" s="26" t="s">
        <v>139</v>
      </c>
      <c r="CD717" s="26"/>
      <c r="CE717" s="26"/>
      <c r="CF717" s="26"/>
      <c r="CG717" s="26" t="s">
        <v>140</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57</v>
      </c>
      <c r="AQ718" s="26">
        <f>BB771+BB772</f>
        <v>33</v>
      </c>
      <c r="AR718" s="26">
        <f>IF(AR719=0,0,1)</f>
        <v>1</v>
      </c>
      <c r="AS718" s="26"/>
      <c r="AT718" s="26"/>
      <c r="AU718" s="26" t="s">
        <v>57</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149</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57</v>
      </c>
      <c r="AV719" s="26">
        <v>14</v>
      </c>
      <c r="AW719" s="26">
        <v>0.312</v>
      </c>
      <c r="AX719" s="26"/>
      <c r="AY719" s="26"/>
      <c r="AZ719" s="26"/>
      <c r="BA719" s="26"/>
      <c r="BB719" s="26"/>
      <c r="BC719" s="26"/>
      <c r="BD719" s="26"/>
      <c r="BE719" s="26"/>
      <c r="BF719" s="26" t="s">
        <v>150</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564</v>
      </c>
      <c r="CC719" s="26" t="s">
        <v>13</v>
      </c>
      <c r="CD719" s="26" t="s">
        <v>14</v>
      </c>
      <c r="CE719" s="26" t="s">
        <v>15</v>
      </c>
      <c r="CF719" s="26" t="s">
        <v>16</v>
      </c>
      <c r="CG719" s="26" t="s">
        <v>442</v>
      </c>
      <c r="CH719" s="26" t="s">
        <v>565</v>
      </c>
      <c r="CI719" s="26" t="s">
        <v>139</v>
      </c>
      <c r="CJ719" s="26" t="s">
        <v>566</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154</v>
      </c>
      <c r="T720" s="26">
        <v>0</v>
      </c>
      <c r="U720" s="26" t="e">
        <f>M747*1.2%*#REF!</f>
        <v>#REF!</v>
      </c>
      <c r="V720" s="26" t="s">
        <v>154</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156</v>
      </c>
      <c r="AP720" s="26">
        <v>39844</v>
      </c>
      <c r="AQ720" s="26">
        <v>8</v>
      </c>
      <c r="AR720" s="26">
        <v>8.5</v>
      </c>
      <c r="AS720" s="26" t="s">
        <v>157</v>
      </c>
      <c r="AT720" s="26">
        <v>40442</v>
      </c>
      <c r="AU720" s="26"/>
      <c r="AV720" s="26"/>
      <c r="AW720" s="26"/>
      <c r="AX720" s="26" t="str">
        <f ca="1">"06/"&amp;MID(AY720,1,4)</f>
        <v>06/2016</v>
      </c>
      <c r="AY720" s="26">
        <f ca="1">YEAR(AQ719+I775)+AR718</f>
        <v>2016</v>
      </c>
      <c r="AZ720" s="26" t="s">
        <v>158</v>
      </c>
      <c r="BA720" s="26"/>
      <c r="BB720" s="26"/>
      <c r="BC720" s="26"/>
      <c r="BD720" s="26">
        <v>15</v>
      </c>
      <c r="BE720" s="26">
        <v>0.33600000000000002</v>
      </c>
      <c r="BF720" s="26"/>
      <c r="BG720" s="26"/>
      <c r="BH720" s="26" t="s">
        <v>159</v>
      </c>
      <c r="BI720" s="26" t="s">
        <v>160</v>
      </c>
      <c r="BJ720" s="26" t="s">
        <v>161</v>
      </c>
      <c r="BK720" s="26"/>
      <c r="BL720" s="26"/>
      <c r="BM720" s="26"/>
      <c r="BN720" s="26" t="s">
        <v>162</v>
      </c>
      <c r="BO720" s="26">
        <f>E111</f>
        <v>0</v>
      </c>
      <c r="BP720" s="26"/>
      <c r="BQ720" s="26"/>
      <c r="BR720" s="26"/>
      <c r="BS720" s="26"/>
      <c r="BT720" s="26" t="s">
        <v>163</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57</v>
      </c>
      <c r="Z721" s="26"/>
      <c r="AA721" s="26" t="e">
        <f>1-#REF!/(#REF!+#REF!)</f>
        <v>#REF!</v>
      </c>
      <c r="AB721" s="26"/>
      <c r="AC721" s="26"/>
      <c r="AD721" s="26"/>
      <c r="AE721" s="26"/>
      <c r="AF721" s="26"/>
      <c r="AG721" s="26" t="s">
        <v>166</v>
      </c>
      <c r="AH721" s="26">
        <v>39872</v>
      </c>
      <c r="AI721" s="26">
        <v>8.5</v>
      </c>
      <c r="AJ721" s="26">
        <v>9</v>
      </c>
      <c r="AK721" s="26"/>
      <c r="AL721" s="26"/>
      <c r="AM721" s="26"/>
      <c r="AN721" s="26" t="s">
        <v>167</v>
      </c>
      <c r="AO721" s="26"/>
      <c r="AP721" s="26"/>
      <c r="AQ721" s="26"/>
      <c r="AR721" s="26"/>
      <c r="AS721" s="26"/>
      <c r="AT721" s="26" t="s">
        <v>168</v>
      </c>
      <c r="AU721" s="26"/>
      <c r="AV721" s="26">
        <v>16</v>
      </c>
      <c r="AW721" s="26">
        <v>0.36</v>
      </c>
      <c r="AX721" s="26"/>
      <c r="AY721" s="26"/>
      <c r="AZ721" s="26" t="s">
        <v>169</v>
      </c>
      <c r="BA721" s="26" t="s">
        <v>169</v>
      </c>
      <c r="BB721" s="26" t="s">
        <v>170</v>
      </c>
      <c r="BC721" s="26" t="s">
        <v>171</v>
      </c>
      <c r="BD721" s="26" t="s">
        <v>172</v>
      </c>
      <c r="BE721" s="26" t="s">
        <v>173</v>
      </c>
      <c r="BF721" s="26" t="s">
        <v>174</v>
      </c>
      <c r="BG721" s="26"/>
      <c r="BH721" s="26"/>
      <c r="BI721" s="26"/>
      <c r="BJ721" s="26"/>
      <c r="BK721" s="26"/>
      <c r="BL721" s="26">
        <v>1114297</v>
      </c>
      <c r="BM721" s="26"/>
      <c r="BN721" s="26" t="s">
        <v>175</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57</v>
      </c>
      <c r="R722" s="26"/>
      <c r="S722" s="26"/>
      <c r="T722" s="26"/>
      <c r="U722" s="26"/>
      <c r="V722" s="26" t="s">
        <v>182</v>
      </c>
      <c r="W722" s="26">
        <v>5</v>
      </c>
      <c r="X722" s="26"/>
      <c r="Y722" s="26"/>
      <c r="Z722" s="26" t="s">
        <v>57</v>
      </c>
      <c r="AA722" s="26" t="s">
        <v>57</v>
      </c>
      <c r="AB722" s="26" t="s">
        <v>183</v>
      </c>
      <c r="AC722" s="26"/>
      <c r="AD722" s="26"/>
      <c r="AE722" s="26"/>
      <c r="AF722" s="26"/>
      <c r="AG722" s="26" t="s">
        <v>184</v>
      </c>
      <c r="AH722" s="26">
        <v>39903</v>
      </c>
      <c r="AI722" s="26">
        <v>9</v>
      </c>
      <c r="AJ722" s="26" t="s">
        <v>185</v>
      </c>
      <c r="AK722" s="26" t="s">
        <v>100</v>
      </c>
      <c r="AL722" s="26" t="s">
        <v>186</v>
      </c>
      <c r="AM722" s="26">
        <f>'[1]נתוני מס'!I22</f>
        <v>395</v>
      </c>
      <c r="AN722" s="26">
        <v>10</v>
      </c>
      <c r="AO722" s="26"/>
      <c r="AP722" s="26" t="s">
        <v>187</v>
      </c>
      <c r="AQ722" s="26"/>
      <c r="AR722" s="26"/>
      <c r="AS722" s="26"/>
      <c r="AT722" s="26">
        <f>AL723</f>
        <v>21262</v>
      </c>
      <c r="AU722" s="26" t="s">
        <v>188</v>
      </c>
      <c r="AV722" s="26" t="s">
        <v>189</v>
      </c>
      <c r="AW722" s="26">
        <f>VLOOKUP(BB779,nihool,2,FALSE)</f>
        <v>0</v>
      </c>
      <c r="AX722" s="26"/>
      <c r="AY722" s="26"/>
      <c r="AZ722" s="26" t="s">
        <v>174</v>
      </c>
      <c r="BA722" s="26" t="s">
        <v>190</v>
      </c>
      <c r="BB722" s="26" t="e">
        <f>#REF!/12</f>
        <v>#REF!</v>
      </c>
      <c r="BC722" s="26" t="e">
        <f>G966</f>
        <v>#REF!</v>
      </c>
      <c r="BD722" s="26" t="e">
        <f>#REF!/12-BE812</f>
        <v>#REF!</v>
      </c>
      <c r="BE722" s="26" t="e">
        <f>(12*(E946-L807)+BB787)/12</f>
        <v>#REF!</v>
      </c>
      <c r="BF722" s="26" t="e">
        <f>(#REF!*((12-BE741/12))+BB787/12*BE742)/12+E111+BE723*((12-BE742)/12)</f>
        <v>#REF!</v>
      </c>
      <c r="BG722" s="26"/>
      <c r="BH722" s="26"/>
      <c r="BI722" s="26" t="s">
        <v>191</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567</v>
      </c>
      <c r="T723" s="26"/>
      <c r="U723" s="26"/>
      <c r="V723" s="26"/>
      <c r="W723" s="26"/>
      <c r="X723" s="26"/>
      <c r="Y723" s="26" t="s">
        <v>196</v>
      </c>
      <c r="Z723" s="26" t="s">
        <v>57</v>
      </c>
      <c r="AA723" s="26" t="s">
        <v>57</v>
      </c>
      <c r="AB723" s="26" t="s">
        <v>197</v>
      </c>
      <c r="AC723" s="26"/>
      <c r="AD723" s="26"/>
      <c r="AE723" s="26" t="s">
        <v>198</v>
      </c>
      <c r="AF723" s="26"/>
      <c r="AG723" s="26" t="s">
        <v>199</v>
      </c>
      <c r="AH723" s="26">
        <v>39933</v>
      </c>
      <c r="AI723" s="26"/>
      <c r="AJ723" s="26"/>
      <c r="AK723" s="26" t="s">
        <v>188</v>
      </c>
      <c r="AL723" s="26">
        <v>21262</v>
      </c>
      <c r="AM723" s="26"/>
      <c r="AN723" s="26" t="s">
        <v>200</v>
      </c>
      <c r="AO723" s="26"/>
      <c r="AP723" s="26">
        <v>0</v>
      </c>
      <c r="AQ723" s="26"/>
      <c r="AR723" s="26"/>
      <c r="AS723" s="26"/>
      <c r="AT723" s="26"/>
      <c r="AU723" s="26"/>
      <c r="AV723" s="26" t="s">
        <v>201</v>
      </c>
      <c r="AW723" s="26">
        <f>VLOOKUP(G102,nihool,2,FALSE)</f>
        <v>0</v>
      </c>
      <c r="AX723" s="26"/>
      <c r="AY723" s="26"/>
      <c r="AZ723" s="26" t="e">
        <f>#REF!/12/#REF!+G966+E111-BE812</f>
        <v>#REF!</v>
      </c>
      <c r="BA723" s="26" t="e">
        <f>#REF!/12+G966+E111-BE812</f>
        <v>#REF!</v>
      </c>
      <c r="BB723" s="26" t="s">
        <v>202</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203</v>
      </c>
      <c r="BQ723" s="26"/>
      <c r="BR723" s="26"/>
      <c r="BS723" s="26"/>
      <c r="BT723" s="26"/>
      <c r="BU723" s="26" t="s">
        <v>204</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568</v>
      </c>
      <c r="T724" s="26"/>
      <c r="U724" s="26"/>
      <c r="V724" s="26" t="s">
        <v>210</v>
      </c>
      <c r="W724" s="26" t="s">
        <v>198</v>
      </c>
      <c r="X724" s="26"/>
      <c r="Y724" s="26" t="s">
        <v>27</v>
      </c>
      <c r="Z724" s="26" t="s">
        <v>57</v>
      </c>
      <c r="AA724" s="26" t="s">
        <v>57</v>
      </c>
      <c r="AB724" s="26" t="s">
        <v>211</v>
      </c>
      <c r="AC724" s="26"/>
      <c r="AD724" s="26"/>
      <c r="AE724" s="26"/>
      <c r="AF724" s="26"/>
      <c r="AG724" s="26" t="s">
        <v>212</v>
      </c>
      <c r="AH724" s="26">
        <v>39964</v>
      </c>
      <c r="AI724" s="26"/>
      <c r="AJ724" s="26"/>
      <c r="AK724" s="26" t="s">
        <v>213</v>
      </c>
      <c r="AL724" s="26" t="s">
        <v>214</v>
      </c>
      <c r="AM724" s="26"/>
      <c r="AN724" s="26">
        <v>11</v>
      </c>
      <c r="AO724" s="26"/>
      <c r="AP724" s="26">
        <v>0.5</v>
      </c>
      <c r="AQ724" s="26"/>
      <c r="AR724" s="26"/>
      <c r="AS724" s="26" t="s">
        <v>57</v>
      </c>
      <c r="AT724" s="26">
        <v>17288</v>
      </c>
      <c r="AU724" s="26">
        <v>17288</v>
      </c>
      <c r="AV724" s="26"/>
      <c r="AW724" s="26" t="s">
        <v>215</v>
      </c>
      <c r="AX724" s="26"/>
      <c r="AY724" s="26"/>
      <c r="AZ724" s="26" t="s">
        <v>216</v>
      </c>
      <c r="BA724" s="26"/>
      <c r="BB724" s="26"/>
      <c r="BC724" s="26" t="s">
        <v>217</v>
      </c>
      <c r="BD724" s="26" t="s">
        <v>218</v>
      </c>
      <c r="BE724" s="26" t="s">
        <v>171</v>
      </c>
      <c r="BF724" s="26" t="s">
        <v>219</v>
      </c>
      <c r="BG724" s="26" t="s">
        <v>220</v>
      </c>
      <c r="BH724" s="26" t="s">
        <v>221</v>
      </c>
      <c r="BI724" s="26" t="s">
        <v>222</v>
      </c>
      <c r="BJ724" s="26"/>
      <c r="BK724" s="26" t="s">
        <v>223</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569</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570</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571</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228</v>
      </c>
      <c r="W732" s="26"/>
      <c r="X732" s="26"/>
      <c r="Y732" s="26"/>
      <c r="Z732" s="26" t="s">
        <v>57</v>
      </c>
      <c r="AA732" s="26" t="s">
        <v>57</v>
      </c>
      <c r="AB732" s="26" t="s">
        <v>229</v>
      </c>
      <c r="AC732" s="26" t="s">
        <v>57</v>
      </c>
      <c r="AD732" s="26"/>
      <c r="AE732" s="26" t="s">
        <v>230</v>
      </c>
      <c r="AF732" s="26"/>
      <c r="AG732" s="26" t="s">
        <v>231</v>
      </c>
      <c r="AH732" s="26">
        <v>39994</v>
      </c>
      <c r="AI732" s="26"/>
      <c r="AJ732" s="26"/>
      <c r="AK732" s="26" t="s">
        <v>232</v>
      </c>
      <c r="AL732" s="26">
        <v>28734</v>
      </c>
      <c r="AM732" s="26"/>
      <c r="AN732" s="26" t="s">
        <v>233</v>
      </c>
      <c r="AO732" s="26"/>
      <c r="AP732" s="26">
        <v>1</v>
      </c>
      <c r="AQ732" s="26"/>
      <c r="AR732" s="26"/>
      <c r="AS732" s="26" t="s">
        <v>57</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237</v>
      </c>
      <c r="V733" s="26"/>
      <c r="W733" s="26">
        <v>0</v>
      </c>
      <c r="X733" s="26"/>
      <c r="Y733" s="26"/>
      <c r="Z733" s="26" t="s">
        <v>57</v>
      </c>
      <c r="AA733" s="26" t="s">
        <v>238</v>
      </c>
      <c r="AB733" s="26" t="s">
        <v>239</v>
      </c>
      <c r="AC733" s="26"/>
      <c r="AD733" s="26"/>
      <c r="AE733" s="26" t="s">
        <v>240</v>
      </c>
      <c r="AF733" s="26">
        <v>389</v>
      </c>
      <c r="AG733" s="26" t="s">
        <v>241</v>
      </c>
      <c r="AH733" s="26">
        <v>40025</v>
      </c>
      <c r="AI733" s="26"/>
      <c r="AJ733" s="26"/>
      <c r="AK733" s="26">
        <v>16</v>
      </c>
      <c r="AL733" s="26">
        <v>11</v>
      </c>
      <c r="AM733" s="26"/>
      <c r="AN733" s="26">
        <v>12</v>
      </c>
      <c r="AO733" s="26"/>
      <c r="AP733" s="26">
        <v>1.5</v>
      </c>
      <c r="AQ733" s="26"/>
      <c r="AR733" s="26"/>
      <c r="AS733" s="26" t="s">
        <v>57</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250</v>
      </c>
      <c r="T734" s="26"/>
      <c r="U734" s="26"/>
      <c r="V734" s="26"/>
      <c r="W734" s="26"/>
      <c r="X734" s="26"/>
      <c r="Y734" s="26"/>
      <c r="Z734" s="26" t="s">
        <v>57</v>
      </c>
      <c r="AA734" s="26"/>
      <c r="AB734" s="26" t="s">
        <v>57</v>
      </c>
      <c r="AC734" s="26"/>
      <c r="AD734" s="26"/>
      <c r="AE734" s="26" t="s">
        <v>251</v>
      </c>
      <c r="AF734" s="26">
        <v>0.59709999999999996</v>
      </c>
      <c r="AG734" s="26" t="s">
        <v>252</v>
      </c>
      <c r="AH734" s="26">
        <v>40056</v>
      </c>
      <c r="AI734" s="26"/>
      <c r="AJ734" s="26"/>
      <c r="AK734" s="26">
        <v>20</v>
      </c>
      <c r="AL734" s="26">
        <v>12</v>
      </c>
      <c r="AM734" s="26"/>
      <c r="AN734" s="26" t="s">
        <v>253</v>
      </c>
      <c r="AO734" s="26" t="s">
        <v>254</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255</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261</v>
      </c>
      <c r="T735" s="26"/>
      <c r="U735" s="26"/>
      <c r="V735" s="26"/>
      <c r="W735" s="26"/>
      <c r="X735" s="26">
        <v>40147</v>
      </c>
      <c r="Y735" s="26"/>
      <c r="Z735" s="26" t="s">
        <v>262</v>
      </c>
      <c r="AA735" s="26" t="e">
        <f>IF(BA760&lt;60,MIN(AV753:AV755),0)</f>
        <v>#REF!</v>
      </c>
      <c r="AB735" s="26"/>
      <c r="AC735" s="26"/>
      <c r="AD735" s="26"/>
      <c r="AE735" s="26" t="s">
        <v>263</v>
      </c>
      <c r="AF735" s="26">
        <v>40574</v>
      </c>
      <c r="AG735" s="26" t="s">
        <v>149</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136</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214</v>
      </c>
      <c r="AF736" s="26"/>
      <c r="AG736" s="26" t="s">
        <v>270</v>
      </c>
      <c r="AH736" s="26">
        <v>40117</v>
      </c>
      <c r="AI736" s="26"/>
      <c r="AJ736" s="26"/>
      <c r="AK736" s="26"/>
      <c r="AL736" s="26"/>
      <c r="AM736" s="26"/>
      <c r="AN736" s="26" t="s">
        <v>271</v>
      </c>
      <c r="AO736" s="26" t="s">
        <v>272</v>
      </c>
      <c r="AP736" s="26">
        <v>3</v>
      </c>
      <c r="AQ736" s="26"/>
      <c r="AR736" s="26"/>
      <c r="AS736" s="26"/>
      <c r="AT736" s="26">
        <v>19238</v>
      </c>
      <c r="AU736" s="26">
        <v>19238</v>
      </c>
      <c r="AV736" s="26"/>
      <c r="AW736" s="26" t="s">
        <v>273</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222</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57</v>
      </c>
      <c r="Q737" s="26"/>
      <c r="R737" s="26"/>
      <c r="S737" s="26"/>
      <c r="T737" s="26"/>
      <c r="U737" s="26"/>
      <c r="V737" s="26"/>
      <c r="W737" s="26"/>
      <c r="X737" s="26"/>
      <c r="Y737" s="26"/>
      <c r="Z737" s="26" t="s">
        <v>273</v>
      </c>
      <c r="AA737" s="26">
        <f ca="1">YEAR(AF735)-YEAR(I775)+AX736</f>
        <v>21</v>
      </c>
      <c r="AB737" s="26"/>
      <c r="AC737" s="26"/>
      <c r="AD737" s="26" t="s">
        <v>278</v>
      </c>
      <c r="AE737" s="26" t="s">
        <v>279</v>
      </c>
      <c r="AF737" s="26" t="s">
        <v>280</v>
      </c>
      <c r="AG737" s="26" t="s">
        <v>281</v>
      </c>
      <c r="AH737" s="26">
        <v>40147</v>
      </c>
      <c r="AI737" s="26"/>
      <c r="AJ737" s="26"/>
      <c r="AK737" s="26"/>
      <c r="AL737" s="26" t="s">
        <v>57</v>
      </c>
      <c r="AM737" s="26">
        <f ca="1">VLOOKUP(AA737,__HAV2,2,TRUE)</f>
        <v>12</v>
      </c>
      <c r="AN737" s="26">
        <v>14</v>
      </c>
      <c r="AO737" s="26">
        <v>35</v>
      </c>
      <c r="AP737" s="26"/>
      <c r="AQ737" s="26"/>
      <c r="AR737" s="26"/>
      <c r="AS737" s="26"/>
      <c r="AT737" s="26">
        <v>19480</v>
      </c>
      <c r="AU737" s="26">
        <v>19480</v>
      </c>
      <c r="AV737" s="26" t="s">
        <v>282</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283</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52</v>
      </c>
      <c r="N738" s="26">
        <f ca="1">ROUND((I775-AT720)/365.25,2)</f>
        <v>13.25</v>
      </c>
      <c r="O738" s="26"/>
      <c r="P738" s="26"/>
      <c r="Q738" s="26"/>
      <c r="R738" s="26"/>
      <c r="S738" s="26"/>
      <c r="T738" s="26"/>
      <c r="U738" s="26"/>
      <c r="V738" s="26" t="s">
        <v>572</v>
      </c>
      <c r="W738" s="26"/>
      <c r="X738" s="26">
        <v>164.07</v>
      </c>
      <c r="Y738" s="26"/>
      <c r="Z738" s="26" t="s">
        <v>290</v>
      </c>
      <c r="AA738" s="26">
        <f>AX734</f>
        <v>33</v>
      </c>
      <c r="AB738" s="26"/>
      <c r="AC738" s="26" t="s">
        <v>189</v>
      </c>
      <c r="AD738" s="26">
        <f>IF(AX734&gt;AA739,AA739,AX734)</f>
        <v>33</v>
      </c>
      <c r="AE738" s="26" t="e">
        <f>IF(W724=#REF!,1.5*AF738,1*AF738)</f>
        <v>#REF!</v>
      </c>
      <c r="AF738" s="26">
        <f>IF(W724=AE723,1,IF(AX734&gt;30,0.75,1))</f>
        <v>1</v>
      </c>
      <c r="AG738" s="26" t="s">
        <v>291</v>
      </c>
      <c r="AH738" s="26">
        <v>40178</v>
      </c>
      <c r="AI738" s="26"/>
      <c r="AJ738" s="26"/>
      <c r="AK738" s="26"/>
      <c r="AL738" s="26"/>
      <c r="AM738" s="26"/>
      <c r="AN738" s="26" t="s">
        <v>292</v>
      </c>
      <c r="AO738" s="26" t="s">
        <v>293</v>
      </c>
      <c r="AP738" s="26"/>
      <c r="AQ738" s="26"/>
      <c r="AR738" s="26"/>
      <c r="AS738" s="26"/>
      <c r="AT738" s="26"/>
      <c r="AU738" s="26"/>
      <c r="AV738" s="26"/>
      <c r="AW738" s="26" t="s">
        <v>57</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57</v>
      </c>
      <c r="N739" s="26"/>
      <c r="O739" s="26"/>
      <c r="P739" s="26"/>
      <c r="Q739" s="26"/>
      <c r="R739" s="26"/>
      <c r="S739" s="26"/>
      <c r="T739" s="26"/>
      <c r="U739" s="26"/>
      <c r="V739" s="26" t="s">
        <v>300</v>
      </c>
      <c r="W739" s="26">
        <f>IF(BB781=Y723,12%,0)</f>
        <v>0</v>
      </c>
      <c r="X739" s="26"/>
      <c r="Y739" s="26"/>
      <c r="Z739" s="26" t="s">
        <v>301</v>
      </c>
      <c r="AA739" s="26">
        <v>36</v>
      </c>
      <c r="AB739" s="26"/>
      <c r="AC739" s="26" t="s">
        <v>302</v>
      </c>
      <c r="AD739" s="26">
        <f ca="1">IF((AD738+AB748)&gt;AA739,AA739,AD738+AB748)</f>
        <v>21</v>
      </c>
      <c r="AE739" s="26"/>
      <c r="AF739" s="26"/>
      <c r="AG739" s="26"/>
      <c r="AH739" s="26">
        <v>40209</v>
      </c>
      <c r="AI739" s="26"/>
      <c r="AJ739" s="26"/>
      <c r="AK739" s="26"/>
      <c r="AL739" s="26"/>
      <c r="AM739" s="26"/>
      <c r="AN739" s="26">
        <v>15</v>
      </c>
      <c r="AO739" s="26">
        <v>36</v>
      </c>
      <c r="AP739" s="26"/>
      <c r="AQ739" s="26"/>
      <c r="AR739" s="26" t="s">
        <v>303</v>
      </c>
      <c r="AS739" s="26"/>
      <c r="AT739" s="26">
        <f ca="1">IF(MONTH(I775)=1,1,0)</f>
        <v>0</v>
      </c>
      <c r="AU739" s="26"/>
      <c r="AV739" s="26" t="s">
        <v>304</v>
      </c>
      <c r="AW739" s="26" t="e">
        <f>(L807-#REF!)*12</f>
        <v>#REF!</v>
      </c>
      <c r="AX739" s="26"/>
      <c r="AY739" s="26"/>
      <c r="AZ739" s="26"/>
      <c r="BA739" s="26" t="s">
        <v>305</v>
      </c>
      <c r="BB739" s="26" t="s">
        <v>306</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307</v>
      </c>
      <c r="BL739" s="26"/>
      <c r="BM739" s="26"/>
      <c r="BN739" s="26" t="e">
        <f ca="1">IF($BM$738=0%,BN737,IF(BN724&lt;$BK$723,BN737*$BD$809,BN737-($BK$738*BN738)))</f>
        <v>#REF!</v>
      </c>
      <c r="BO739" s="26"/>
      <c r="BP739" s="26" t="e">
        <f ca="1">IF($BM$738=0%,BP737,IF(BP724&lt;$BK$723,BP737*$BD$809,BP737-($BK$738*BP738)))</f>
        <v>#REF!</v>
      </c>
      <c r="BQ739" s="26" t="s">
        <v>308</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312</v>
      </c>
      <c r="AC740" s="26"/>
      <c r="AD740" s="26"/>
      <c r="AE740" s="26" t="e">
        <f>(100-AE738)/100</f>
        <v>#REF!</v>
      </c>
      <c r="AF740" s="26"/>
      <c r="AG740" s="26"/>
      <c r="AH740" s="26">
        <v>40237</v>
      </c>
      <c r="AI740" s="26"/>
      <c r="AJ740" s="26" t="s">
        <v>313</v>
      </c>
      <c r="AK740" s="26"/>
      <c r="AL740" s="26"/>
      <c r="AM740" s="26"/>
      <c r="AN740" s="26" t="s">
        <v>314</v>
      </c>
      <c r="AO740" s="26" t="s">
        <v>315</v>
      </c>
      <c r="AP740" s="26"/>
      <c r="AQ740" s="26"/>
      <c r="AR740" s="26"/>
      <c r="AS740" s="26"/>
      <c r="AT740" s="26" t="s">
        <v>57</v>
      </c>
      <c r="AU740" s="26"/>
      <c r="AV740" s="26" t="s">
        <v>57</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316</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319</v>
      </c>
      <c r="W741" s="26"/>
      <c r="X741" s="26"/>
      <c r="Y741" s="26"/>
      <c r="Z741" s="26" t="s">
        <v>320</v>
      </c>
      <c r="AA741" s="26"/>
      <c r="AB741" s="26" t="s">
        <v>321</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57</v>
      </c>
      <c r="AQ741" s="26"/>
      <c r="AR741" s="26"/>
      <c r="AS741" s="26"/>
      <c r="AT741" s="26"/>
      <c r="AU741" s="26"/>
      <c r="AV741" s="26">
        <f>IF(24.75-BB771-BB772&lt;=0,0,IF((24.75-BB771-BB772)&gt;#REF!,#REF!*#REF!*0.6,(24.75-BB771-BB772)*#REF!*0.6))</f>
        <v>0</v>
      </c>
      <c r="AW741" s="26"/>
      <c r="AX741" s="26"/>
      <c r="AY741" s="26"/>
      <c r="AZ741" s="26"/>
      <c r="BA741" s="26"/>
      <c r="BB741" s="26" t="s">
        <v>322</v>
      </c>
      <c r="BC741" s="26"/>
      <c r="BD741" s="26"/>
      <c r="BE741" s="26">
        <f>IF(MONTH(AF735)&gt;9,0,MONTH(AF735)-1+DAY(AF735)/30)</f>
        <v>1.0333333333333334</v>
      </c>
      <c r="BF741" s="26"/>
      <c r="BG741" s="26" t="s">
        <v>323</v>
      </c>
      <c r="BH741" s="26" t="e">
        <f>IF(BH740=0,0,(BH740-(BB786*BH742)*12)-BK741)</f>
        <v>#REF!</v>
      </c>
      <c r="BI741" s="26" t="s">
        <v>324</v>
      </c>
      <c r="BJ741" s="26" t="s">
        <v>325</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57</v>
      </c>
      <c r="V742" s="26" t="s">
        <v>330</v>
      </c>
      <c r="W742" s="26" t="s">
        <v>250</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331</v>
      </c>
      <c r="AO742" s="26" t="s">
        <v>332</v>
      </c>
      <c r="AP742" s="26"/>
      <c r="AQ742" s="26"/>
      <c r="AR742" s="26"/>
      <c r="AS742" s="26" t="s">
        <v>333</v>
      </c>
      <c r="AT742" s="26">
        <f ca="1">ROUND(G906,0)</f>
        <v>-11</v>
      </c>
      <c r="AU742" s="26"/>
      <c r="AV742" s="26" t="e">
        <f>IF(G911&lt;70%,IF(#REF!* 2% &gt;70%-G911,70%-G911,#REF!*2%),IF(G909+G910-G911&lt;=0,0,G909+G910-G911))</f>
        <v>#REF!</v>
      </c>
      <c r="AW742" s="26"/>
      <c r="AX742" s="26"/>
      <c r="AY742" s="26"/>
      <c r="AZ742" s="26"/>
      <c r="BA742" s="26"/>
      <c r="BB742" s="26" t="s">
        <v>334</v>
      </c>
      <c r="BC742" s="26"/>
      <c r="BD742" s="26"/>
      <c r="BE742" s="26">
        <f>MONTH(AF735)-1+DAY(AF735)/30</f>
        <v>1.0333333333333334</v>
      </c>
      <c r="BF742" s="26"/>
      <c r="BG742" s="26" t="s">
        <v>335</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337</v>
      </c>
      <c r="W743" s="26" t="s">
        <v>128</v>
      </c>
      <c r="X743" s="26"/>
      <c r="Y743" s="26"/>
      <c r="Z743" s="26" t="s">
        <v>57</v>
      </c>
      <c r="AA743" s="26"/>
      <c r="AB743" s="26"/>
      <c r="AC743" s="26"/>
      <c r="AD743" s="26" t="s">
        <v>338</v>
      </c>
      <c r="AE743" s="26">
        <f>L807*0.36</f>
        <v>5184.4128898677536</v>
      </c>
      <c r="AF743" s="26"/>
      <c r="AG743" s="26"/>
      <c r="AH743" s="26">
        <v>40329</v>
      </c>
      <c r="AI743" s="26"/>
      <c r="AJ743" s="26" t="s">
        <v>339</v>
      </c>
      <c r="AK743" s="26" t="s">
        <v>340</v>
      </c>
      <c r="AL743" s="26"/>
      <c r="AM743" s="26"/>
      <c r="AN743" s="26">
        <v>17</v>
      </c>
      <c r="AO743" s="26">
        <v>38</v>
      </c>
      <c r="AP743" s="26"/>
      <c r="AQ743" s="26"/>
      <c r="AR743" s="26"/>
      <c r="AS743" s="26" t="s">
        <v>341</v>
      </c>
      <c r="AT743" s="26" t="s">
        <v>57</v>
      </c>
      <c r="AU743" s="26"/>
      <c r="AV743" s="26"/>
      <c r="AW743" s="26"/>
      <c r="AX743" s="26"/>
      <c r="AY743" s="26"/>
      <c r="AZ743" s="26"/>
      <c r="BA743" s="26"/>
      <c r="BB743" s="26"/>
      <c r="BC743" s="26"/>
      <c r="BD743" s="26"/>
      <c r="BE743" s="26"/>
      <c r="BF743" s="26"/>
      <c r="BG743" s="26" t="s">
        <v>342</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57</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86</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346</v>
      </c>
      <c r="AO744" s="26" t="s">
        <v>347</v>
      </c>
      <c r="AP744" s="26"/>
      <c r="AQ744" s="26"/>
      <c r="AR744" s="26"/>
      <c r="AS744" s="26" t="s">
        <v>348</v>
      </c>
      <c r="AT744" s="26">
        <f ca="1">(AT746*2)/100</f>
        <v>-1.8333333333333333E-2</v>
      </c>
      <c r="AU744" s="26"/>
      <c r="AV744" s="26"/>
      <c r="AW744" s="26"/>
      <c r="AX744" s="26"/>
      <c r="AY744" s="26"/>
      <c r="AZ744" s="26"/>
      <c r="BA744" s="26"/>
      <c r="BB744" s="26"/>
      <c r="BC744" s="26"/>
      <c r="BD744" s="26"/>
      <c r="BE744" s="26"/>
      <c r="BF744" s="26" t="s">
        <v>57</v>
      </c>
      <c r="BG744" s="26" t="s">
        <v>349</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93</v>
      </c>
      <c r="O745" s="26"/>
      <c r="P745" s="26"/>
      <c r="Q745" s="26"/>
      <c r="R745" s="26"/>
      <c r="S745" s="26"/>
      <c r="T745" s="26" t="s">
        <v>351</v>
      </c>
      <c r="U745" s="26"/>
      <c r="V745" s="26">
        <v>0</v>
      </c>
      <c r="W745" s="26" t="s">
        <v>352</v>
      </c>
      <c r="X745" s="26"/>
      <c r="Y745" s="26"/>
      <c r="Z745" s="26"/>
      <c r="AA745" s="26" t="s">
        <v>8</v>
      </c>
      <c r="AB745" s="26" t="s">
        <v>353</v>
      </c>
      <c r="AC745" s="26" t="s">
        <v>354</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101</v>
      </c>
      <c r="O746" s="26"/>
      <c r="P746" s="26"/>
      <c r="Q746" s="26"/>
      <c r="R746" s="26"/>
      <c r="S746" s="26"/>
      <c r="T746" s="26" t="s">
        <v>355</v>
      </c>
      <c r="U746" s="26"/>
      <c r="V746" s="26" t="s">
        <v>356</v>
      </c>
      <c r="W746" s="26" t="s">
        <v>357</v>
      </c>
      <c r="X746" s="26"/>
      <c r="Y746" s="26"/>
      <c r="Z746" s="26"/>
      <c r="AA746" s="26" t="s">
        <v>69</v>
      </c>
      <c r="AB746" s="26">
        <f>IF(AX734&lt;AA739,AX734-INT(AX734),0)</f>
        <v>0</v>
      </c>
      <c r="AC746" s="26" t="s">
        <v>358</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359</v>
      </c>
      <c r="AO746" s="26" t="s">
        <v>360</v>
      </c>
      <c r="AP746" s="26"/>
      <c r="AQ746" s="26"/>
      <c r="AR746" s="26"/>
      <c r="AS746" s="26" t="s">
        <v>361</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111</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302</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363</v>
      </c>
      <c r="AW747" s="26" t="s">
        <v>364</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368</v>
      </c>
      <c r="AB748" s="26">
        <f ca="1">YEAR(AF735)-YEAR(I775)</f>
        <v>-12</v>
      </c>
      <c r="AC748" s="26"/>
      <c r="AD748" s="26"/>
      <c r="AE748" s="26"/>
      <c r="AF748" s="26"/>
      <c r="AG748" s="26"/>
      <c r="AH748" s="26">
        <v>40482</v>
      </c>
      <c r="AI748" s="26"/>
      <c r="AJ748" s="26"/>
      <c r="AK748" s="26"/>
      <c r="AL748" s="26"/>
      <c r="AM748" s="26"/>
      <c r="AN748" s="26" t="s">
        <v>369</v>
      </c>
      <c r="AO748" s="26" t="s">
        <v>370</v>
      </c>
      <c r="AP748" s="26"/>
      <c r="AQ748" s="26"/>
      <c r="AR748" s="26"/>
      <c r="AS748" s="26"/>
      <c r="AT748" s="26" t="s">
        <v>371</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57</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374</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375</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376</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377</v>
      </c>
      <c r="W750" s="26">
        <v>0</v>
      </c>
      <c r="X750" s="26"/>
      <c r="Y750" s="26"/>
      <c r="Z750" s="26"/>
      <c r="AA750" s="26"/>
      <c r="AB750" s="26"/>
      <c r="AC750" s="26" t="s">
        <v>358</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378</v>
      </c>
      <c r="AO750" s="26" t="s">
        <v>379</v>
      </c>
      <c r="AP750" s="26"/>
      <c r="AQ750" s="26"/>
      <c r="AR750" s="26"/>
      <c r="AS750" s="26"/>
      <c r="AT750" s="26"/>
      <c r="AU750" s="26"/>
      <c r="AV750" s="26"/>
      <c r="AW750" s="26"/>
      <c r="AX750" s="26"/>
      <c r="AY750" s="26"/>
      <c r="AZ750" s="26"/>
      <c r="BA750" s="26"/>
      <c r="BB750" s="26"/>
      <c r="BC750" s="26"/>
      <c r="BD750" s="26"/>
      <c r="BE750" s="26" t="s">
        <v>57</v>
      </c>
      <c r="BF750" s="26" t="s">
        <v>380</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381</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382</v>
      </c>
      <c r="AU751" s="26" t="s">
        <v>383</v>
      </c>
      <c r="AV751" s="26"/>
      <c r="AW751" s="26"/>
      <c r="AX751" s="26"/>
      <c r="AY751" s="26"/>
      <c r="AZ751" s="26"/>
      <c r="BA751" s="26"/>
      <c r="BB751" s="26"/>
      <c r="BC751" s="26"/>
      <c r="BD751" s="26"/>
      <c r="BE751" s="26"/>
      <c r="BF751" s="26" t="s">
        <v>384</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255</v>
      </c>
      <c r="W752" s="26">
        <f>BB771</f>
        <v>33</v>
      </c>
      <c r="X752" s="26"/>
      <c r="Y752" s="26"/>
      <c r="Z752" s="26" t="s">
        <v>385</v>
      </c>
      <c r="AA752" s="26" t="e">
        <f ca="1">G974*AA751</f>
        <v>#REF!</v>
      </c>
      <c r="AB752" s="26"/>
      <c r="AC752" s="26"/>
      <c r="AD752" s="26"/>
      <c r="AE752" s="26"/>
      <c r="AF752" s="26"/>
      <c r="AG752" s="26"/>
      <c r="AH752" s="26"/>
      <c r="AI752" s="26"/>
      <c r="AJ752" s="26">
        <f>ROUND((AF735-AJ751)/365.25,2)</f>
        <v>0.08</v>
      </c>
      <c r="AK752" s="26"/>
      <c r="AL752" s="26"/>
      <c r="AM752" s="26"/>
      <c r="AN752" s="26" t="s">
        <v>386</v>
      </c>
      <c r="AO752" s="26" t="s">
        <v>387</v>
      </c>
      <c r="AP752" s="26"/>
      <c r="AQ752" s="26"/>
      <c r="AR752" s="26"/>
      <c r="AS752" s="26" t="s">
        <v>388</v>
      </c>
      <c r="AT752" s="26"/>
      <c r="AU752" s="26" t="e">
        <f>E947</f>
        <v>#REF!</v>
      </c>
      <c r="AV752" s="26" t="s">
        <v>389</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390</v>
      </c>
      <c r="AA753" s="26"/>
      <c r="AB753" s="26"/>
      <c r="AC753" s="26"/>
      <c r="AD753" s="26" t="s">
        <v>391</v>
      </c>
      <c r="AE753" s="26" t="s">
        <v>392</v>
      </c>
      <c r="AF753" s="26"/>
      <c r="AG753" s="26"/>
      <c r="AH753" s="26"/>
      <c r="AI753" s="26"/>
      <c r="AJ753" s="26"/>
      <c r="AK753" s="26"/>
      <c r="AL753" s="26"/>
      <c r="AM753" s="26"/>
      <c r="AN753" s="26">
        <v>22</v>
      </c>
      <c r="AO753" s="26">
        <v>43</v>
      </c>
      <c r="AP753" s="26"/>
      <c r="AQ753" s="26"/>
      <c r="AR753" s="26"/>
      <c r="AS753" s="26" t="s">
        <v>57</v>
      </c>
      <c r="AT753" s="26">
        <v>12</v>
      </c>
      <c r="AU753" s="26" t="s">
        <v>393</v>
      </c>
      <c r="AV753" s="26" t="e">
        <f>12*AU752</f>
        <v>#REF!</v>
      </c>
      <c r="AW753" s="26"/>
      <c r="AX753" s="26"/>
      <c r="AY753" s="26"/>
      <c r="AZ753" s="26"/>
      <c r="BA753" s="26" t="s">
        <v>57</v>
      </c>
      <c r="BB753" s="26"/>
      <c r="BC753" s="26"/>
      <c r="BD753" s="26"/>
      <c r="BE753" s="26" t="s">
        <v>394</v>
      </c>
      <c r="BF753" s="26"/>
      <c r="BG753" s="26"/>
      <c r="BH753" s="26"/>
      <c r="BI753" s="26"/>
      <c r="BJ753" s="26"/>
      <c r="BK753" s="26"/>
      <c r="BL753" s="26" t="s">
        <v>395</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398</v>
      </c>
      <c r="W754" s="26">
        <v>1</v>
      </c>
      <c r="X754" s="26"/>
      <c r="Y754" s="26"/>
      <c r="Z754" s="26" t="e">
        <f>IF(#REF!&gt;0,#REF!/'[1]נתוני מס'!N16,0)</f>
        <v>#REF!</v>
      </c>
      <c r="AA754" s="26" t="s">
        <v>399</v>
      </c>
      <c r="AB754" s="26" t="s">
        <v>400</v>
      </c>
      <c r="AC754" s="26" t="s">
        <v>196</v>
      </c>
      <c r="AD754" s="26"/>
      <c r="AE754" s="26" t="e">
        <f>#REF!</f>
        <v>#REF!</v>
      </c>
      <c r="AF754" s="26"/>
      <c r="AG754" s="26"/>
      <c r="AH754" s="26"/>
      <c r="AI754" s="26"/>
      <c r="AJ754" s="26"/>
      <c r="AK754" s="26"/>
      <c r="AL754" s="26"/>
      <c r="AM754" s="26"/>
      <c r="AN754" s="26" t="s">
        <v>401</v>
      </c>
      <c r="AO754" s="26" t="s">
        <v>402</v>
      </c>
      <c r="AP754" s="26"/>
      <c r="AQ754" s="26"/>
      <c r="AR754" s="26"/>
      <c r="AS754" s="26" t="s">
        <v>403</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404</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405</v>
      </c>
      <c r="AB755" s="26" t="s">
        <v>406</v>
      </c>
      <c r="AC755" s="26" t="s">
        <v>69</v>
      </c>
      <c r="AD755" s="26"/>
      <c r="AE755" s="26"/>
      <c r="AF755" s="26" t="s">
        <v>407</v>
      </c>
      <c r="AG755" s="26">
        <f>IF(AF707=AC754,0.01%,0)</f>
        <v>0</v>
      </c>
      <c r="AH755" s="26"/>
      <c r="AI755" s="26"/>
      <c r="AJ755" s="26" t="s">
        <v>349</v>
      </c>
      <c r="AK755" s="26"/>
      <c r="AL755" s="26"/>
      <c r="AM755" s="26"/>
      <c r="AN755" s="26">
        <v>23</v>
      </c>
      <c r="AO755" s="26">
        <v>44</v>
      </c>
      <c r="AP755" s="26"/>
      <c r="AQ755" s="26"/>
      <c r="AR755" s="26"/>
      <c r="AS755" s="26"/>
      <c r="AT755" s="26"/>
      <c r="AU755" s="26" t="s">
        <v>408</v>
      </c>
      <c r="AV755" s="26" t="e">
        <f ca="1">BA758</f>
        <v>#REF!</v>
      </c>
      <c r="AW755" s="26"/>
      <c r="AX755" s="26" t="s">
        <v>409</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410</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411</v>
      </c>
      <c r="AO756" s="26" t="s">
        <v>412</v>
      </c>
      <c r="AP756" s="26"/>
      <c r="AQ756" s="26"/>
      <c r="AR756" s="26"/>
      <c r="AS756" s="26"/>
      <c r="AT756" s="26"/>
      <c r="AU756" s="26"/>
      <c r="AV756" s="26"/>
      <c r="AW756" s="26"/>
      <c r="AX756" s="26" t="s">
        <v>413</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57</v>
      </c>
      <c r="R757" s="26"/>
      <c r="S757" s="26" t="e">
        <f>(1-#REF!/#REF!)*#REF!</f>
        <v>#REF!</v>
      </c>
      <c r="T757" s="26"/>
      <c r="U757" s="26" t="s">
        <v>415</v>
      </c>
      <c r="V757" s="26"/>
      <c r="W757" s="26"/>
      <c r="X757" s="26"/>
      <c r="Y757" s="26"/>
      <c r="Z757" s="26"/>
      <c r="AA757" s="26" t="s">
        <v>416</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384</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417</v>
      </c>
      <c r="W758" s="26" t="e">
        <f ca="1">E947+(E963+E964+E965)/12</f>
        <v>#REF!</v>
      </c>
      <c r="X758" s="26"/>
      <c r="Y758" s="26"/>
      <c r="Z758" s="26"/>
      <c r="AA758" s="26"/>
      <c r="AB758" s="26" t="s">
        <v>57</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57</v>
      </c>
      <c r="R759" s="26"/>
      <c r="S759" s="26" t="e">
        <f>S758*2</f>
        <v>#REF!</v>
      </c>
      <c r="T759" s="26"/>
      <c r="U759" s="26"/>
      <c r="V759" s="26" t="s">
        <v>419</v>
      </c>
      <c r="W759" s="26" t="e">
        <f ca="1">E947+(E964+E965)/12</f>
        <v>#REF!</v>
      </c>
      <c r="X759" s="26"/>
      <c r="Y759" s="26"/>
      <c r="Z759" s="26"/>
      <c r="AA759" s="26"/>
      <c r="AB759" s="26" t="s">
        <v>57</v>
      </c>
      <c r="AC759" s="26"/>
      <c r="AD759" s="26"/>
      <c r="AE759" s="26"/>
      <c r="AF759" s="26"/>
      <c r="AG759" s="26"/>
      <c r="AH759" s="26"/>
      <c r="AI759" s="26"/>
      <c r="AJ759" s="26"/>
      <c r="AK759" s="26"/>
      <c r="AL759" s="26"/>
      <c r="AM759" s="26"/>
      <c r="AN759" s="26" t="s">
        <v>420</v>
      </c>
      <c r="AO759" s="26" t="s">
        <v>421</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422</v>
      </c>
      <c r="W760" s="26" t="e">
        <f>E947</f>
        <v>#REF!</v>
      </c>
      <c r="X760" s="26"/>
      <c r="Y760" s="26"/>
      <c r="Z760" s="26"/>
      <c r="AA760" s="26"/>
      <c r="AB760" s="26" t="s">
        <v>57</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57</v>
      </c>
      <c r="W761" s="26"/>
      <c r="X761" s="26"/>
      <c r="Y761" s="26"/>
      <c r="Z761" s="26"/>
      <c r="AA761" s="26"/>
      <c r="AB761" s="26" t="s">
        <v>57</v>
      </c>
      <c r="AC761" s="26"/>
      <c r="AD761" s="26"/>
      <c r="AE761" s="26"/>
      <c r="AF761" s="26"/>
      <c r="AG761" s="26"/>
      <c r="AH761" s="26"/>
      <c r="AI761" s="26"/>
      <c r="AJ761" s="26"/>
      <c r="AK761" s="26"/>
      <c r="AL761" s="26"/>
      <c r="AM761" s="26"/>
      <c r="AN761" s="26" t="s">
        <v>423</v>
      </c>
      <c r="AO761" s="26" t="s">
        <v>424</v>
      </c>
      <c r="AP761" s="26"/>
      <c r="AQ761" s="26"/>
      <c r="AR761" s="26"/>
      <c r="AS761" s="26"/>
      <c r="AT761" s="26"/>
      <c r="AU761" s="26"/>
      <c r="AV761" s="26"/>
      <c r="AW761" s="26"/>
      <c r="AX761" s="26"/>
      <c r="AY761" s="26"/>
      <c r="AZ761" s="26" t="s">
        <v>425</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428</v>
      </c>
      <c r="W763" s="26"/>
      <c r="X763" s="26" t="s">
        <v>422</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249</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429</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269</v>
      </c>
      <c r="O770" s="26"/>
      <c r="P770" s="26"/>
      <c r="Q770" s="26"/>
      <c r="R770" s="26" t="s">
        <v>430</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431</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277</v>
      </c>
      <c r="O771" s="26"/>
      <c r="P771" s="26"/>
      <c r="Q771" s="26"/>
      <c r="R771" s="26" t="s">
        <v>57</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432</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273</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573</v>
      </c>
      <c r="I775" s="26">
        <f ca="1">TODAY()</f>
        <v>45282</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434</v>
      </c>
      <c r="BB775" s="26" t="s">
        <v>82</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574</v>
      </c>
      <c r="I776" s="26" t="s">
        <v>575</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377</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67</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435</v>
      </c>
      <c r="BB777" s="26" t="s">
        <v>113</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576</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436</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77</v>
      </c>
      <c r="L779" s="26">
        <f>VLOOKUP(INT(G946),ofek4,BB770+2,FALSE)*(1+AB746/100)*T719*T705</f>
        <v>14401.146916299316</v>
      </c>
      <c r="M779" s="26"/>
      <c r="N779" s="26"/>
      <c r="O779" s="26"/>
      <c r="P779" s="26"/>
      <c r="Q779" s="26"/>
      <c r="R779" s="26" t="s">
        <v>405</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437</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439</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444</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445</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92</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249</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100</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374</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85</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447</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449</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57</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275</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452</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57</v>
      </c>
      <c r="AG800" s="26"/>
      <c r="AH800" s="26"/>
      <c r="AI800" s="26"/>
      <c r="AJ800" s="26"/>
      <c r="AK800" s="26"/>
      <c r="AL800" s="26"/>
      <c r="AM800" s="26"/>
      <c r="AN800" s="26"/>
      <c r="AO800" s="26"/>
      <c r="AP800" s="26"/>
      <c r="AQ800" s="26"/>
      <c r="AR800" s="26"/>
      <c r="AS800" s="26"/>
      <c r="AT800" s="26" t="s">
        <v>453</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454</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455</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57</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456</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457</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458</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57</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459</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460</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577</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461</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57</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462</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283</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85</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57</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57</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463</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202</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57</v>
      </c>
      <c r="W813" s="26" t="s">
        <v>57</v>
      </c>
      <c r="X813" s="26" t="s">
        <v>110</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117</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464</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450</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126</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148</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448</v>
      </c>
      <c r="R820" s="26"/>
      <c r="S820" s="26"/>
      <c r="T820" s="26"/>
      <c r="U820" s="26"/>
      <c r="V820" s="26"/>
      <c r="W820" s="26"/>
      <c r="X820" s="26" t="s">
        <v>63</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57</v>
      </c>
      <c r="N823" s="26" t="s">
        <v>57</v>
      </c>
      <c r="O823" s="26"/>
      <c r="P823" s="26"/>
      <c r="Q823" s="26"/>
      <c r="R823" s="26"/>
      <c r="S823" s="26"/>
      <c r="T823" s="26"/>
      <c r="U823" s="26"/>
      <c r="V823" s="26"/>
      <c r="W823" s="26"/>
      <c r="X823" s="26" t="s">
        <v>99</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57</v>
      </c>
      <c r="L824" s="26"/>
      <c r="M824" s="26" t="s">
        <v>57</v>
      </c>
      <c r="N824" s="26" t="s">
        <v>57</v>
      </c>
      <c r="O824" s="26"/>
      <c r="P824" s="26"/>
      <c r="Q824" s="26"/>
      <c r="R824" s="26"/>
      <c r="S824" s="26"/>
      <c r="T824" s="26"/>
      <c r="U824" s="26"/>
      <c r="V824" s="26"/>
      <c r="W824" s="26"/>
      <c r="X824" s="26" t="s">
        <v>208</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57</v>
      </c>
      <c r="N825" s="26" t="s">
        <v>57</v>
      </c>
      <c r="O825" s="26"/>
      <c r="P825" s="26"/>
      <c r="Q825" s="26"/>
      <c r="R825" s="26"/>
      <c r="S825" s="26"/>
      <c r="T825" s="26"/>
      <c r="U825" s="26"/>
      <c r="V825" s="26"/>
      <c r="W825" s="26"/>
      <c r="X825" s="26" t="s">
        <v>226</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57</v>
      </c>
      <c r="N826" s="26" t="s">
        <v>57</v>
      </c>
      <c r="O826" s="26"/>
      <c r="P826" s="26"/>
      <c r="Q826" s="26"/>
      <c r="R826" s="26"/>
      <c r="S826" s="26"/>
      <c r="T826" s="26"/>
      <c r="U826" s="26"/>
      <c r="V826" s="26"/>
      <c r="W826" s="26"/>
      <c r="X826" s="26" t="s">
        <v>236</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57</v>
      </c>
      <c r="N827" s="26" t="s">
        <v>57</v>
      </c>
      <c r="O827" s="26"/>
      <c r="P827" s="26"/>
      <c r="Q827" s="26"/>
      <c r="R827" s="26"/>
      <c r="S827" s="26"/>
      <c r="T827" s="26"/>
      <c r="U827" s="26"/>
      <c r="V827" s="26"/>
      <c r="W827" s="26"/>
      <c r="X827" s="26" t="s">
        <v>248</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57</v>
      </c>
      <c r="N828" s="26" t="s">
        <v>57</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57</v>
      </c>
      <c r="N829" s="26" t="s">
        <v>57</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57</v>
      </c>
      <c r="L830" s="26"/>
      <c r="M830" s="26" t="s">
        <v>57</v>
      </c>
      <c r="N830" s="26" t="s">
        <v>57</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57</v>
      </c>
      <c r="N831" s="26" t="s">
        <v>57</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57</v>
      </c>
      <c r="N832" s="26" t="s">
        <v>57</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57</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467</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57</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57</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494</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57</v>
      </c>
      <c r="I869" s="26"/>
      <c r="J869" s="26"/>
      <c r="K869" s="26" t="s">
        <v>57</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57</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57</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57</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497</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578</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57</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-0.30936000000000019</v>
      </c>
      <c r="L887" s="26" t="s">
        <v>465</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466</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468</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469</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470</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471</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57</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57</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533</v>
      </c>
      <c r="C898" s="69" t="e">
        <f>#REF!</f>
        <v>#REF!</v>
      </c>
      <c r="G898" s="26"/>
      <c r="H898" s="26"/>
      <c r="I898" s="26" t="s">
        <v>57</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512</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529</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531</v>
      </c>
      <c r="E901" s="73" t="s">
        <v>196</v>
      </c>
      <c r="G901" s="26" t="s">
        <v>491</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517</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519</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521</v>
      </c>
      <c r="F904" s="79" t="e">
        <f>#REF!</f>
        <v>#REF!</v>
      </c>
      <c r="G904" s="26" t="s">
        <v>493</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539</v>
      </c>
      <c r="C905" s="81" t="s">
        <v>540</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541</v>
      </c>
      <c r="D906" s="85" t="s">
        <v>57</v>
      </c>
      <c r="E906" s="86" t="e">
        <f>#REF!/#REF!*E911</f>
        <v>#REF!</v>
      </c>
      <c r="F906" s="87" t="s">
        <v>524</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542</v>
      </c>
      <c r="D907" s="90" t="s">
        <v>57</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544</v>
      </c>
      <c r="D908" s="94" t="str">
        <f>E107&amp;"   :   מספר חודשים"</f>
        <v xml:space="preserve">   :   מספר חודשים</v>
      </c>
      <c r="E908" s="91" t="e">
        <f>#REF!/#REF!*E911</f>
        <v>#REF!</v>
      </c>
      <c r="F908" s="95" t="s">
        <v>528</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545</v>
      </c>
      <c r="D909" s="94" t="e">
        <f>IF(#REF!=0,#REF!,INT(#REF!)&amp;" : ימי מחלה  לפדיון")</f>
        <v>#REF!</v>
      </c>
      <c r="E909" s="91" t="e">
        <f>#REF!/#REF!*E911</f>
        <v>#REF!</v>
      </c>
      <c r="F909" s="96" t="s">
        <v>530</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546</v>
      </c>
      <c r="D910" s="99" t="e">
        <f>IF(#REF!=0,#REF!,TRUNC(#REF!,2)&amp; "  :מספר משכורות")</f>
        <v>#REF!</v>
      </c>
      <c r="E910" s="100" t="e">
        <f>#REF!/#REF!*E911</f>
        <v>#REF!</v>
      </c>
      <c r="F910" s="101" t="s">
        <v>532</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547</v>
      </c>
      <c r="D911" s="104" t="s">
        <v>548</v>
      </c>
      <c r="E911" s="105" t="e">
        <f>#REF!</f>
        <v>#REF!</v>
      </c>
      <c r="F911" s="67" t="s">
        <v>534</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549</v>
      </c>
      <c r="D912" s="107"/>
      <c r="E912" s="108" t="e">
        <f>E911-#REF!</f>
        <v>#REF!</v>
      </c>
      <c r="F912" s="109" t="s">
        <v>535</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536</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550</v>
      </c>
      <c r="D914" s="116" t="e">
        <f>#REF!&amp;" : ימי חופש  לפדיון"</f>
        <v>#REF!</v>
      </c>
      <c r="E914" s="114" t="e">
        <f>#REF!-BF740</f>
        <v>#REF!</v>
      </c>
      <c r="F914" s="117" t="s">
        <v>537</v>
      </c>
      <c r="G914" s="26" t="s">
        <v>500</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551</v>
      </c>
      <c r="D915" s="119"/>
      <c r="E915" s="120"/>
      <c r="F915" s="120" t="e">
        <f>IF(#REF!=0,0,#REF!-#REF!)</f>
        <v>#REF!</v>
      </c>
      <c r="G915" s="26" t="s">
        <v>501</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553</v>
      </c>
      <c r="D916" s="122"/>
      <c r="E916" s="123"/>
      <c r="F916" s="123"/>
      <c r="G916" s="26" t="s">
        <v>502</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554</v>
      </c>
      <c r="C917" s="125"/>
      <c r="D917" s="126"/>
      <c r="E917" s="127" t="e">
        <f>#REF!</f>
        <v>#REF!</v>
      </c>
      <c r="F917" s="127" t="s">
        <v>538</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555</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557</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57</v>
      </c>
      <c r="C920" s="130" t="s">
        <v>558</v>
      </c>
      <c r="D920" s="107"/>
      <c r="E920" s="131"/>
      <c r="F920" s="133" t="s">
        <v>543</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9" t="s">
        <v>57</v>
      </c>
      <c r="G922" s="26" t="s">
        <v>57</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579</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511</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543</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552</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57</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9" t="s">
        <v>57</v>
      </c>
      <c r="G936" s="26"/>
      <c r="H936" s="26" t="s">
        <v>580</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9" t="s">
        <v>57</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559</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57</v>
      </c>
      <c r="C946" s="142" t="s">
        <v>561</v>
      </c>
      <c r="D946" s="143" t="e">
        <f>D951</f>
        <v>#REF!</v>
      </c>
      <c r="E946" s="144" t="e">
        <f>SUM(E929:E945)</f>
        <v>#REF!</v>
      </c>
      <c r="F946" s="145" t="s">
        <v>560</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9" t="s">
        <v>57</v>
      </c>
      <c r="C947" s="146" t="s">
        <v>581</v>
      </c>
      <c r="D947" s="147"/>
      <c r="E947" s="148" t="e">
        <f>(E946*G944+D946*G945)/G946</f>
        <v>#REF!</v>
      </c>
      <c r="F947" s="149" t="s">
        <v>582</v>
      </c>
      <c r="G947" s="26" t="s">
        <v>543</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543</v>
      </c>
      <c r="G948" s="26" t="s">
        <v>57</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9"/>
      <c r="C949" s="9" t="s">
        <v>583</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9" t="s">
        <v>584</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9" t="s">
        <v>585</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57</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57</v>
      </c>
      <c r="C954" s="65" t="s">
        <v>57</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57</v>
      </c>
      <c r="C955" s="65" t="s">
        <v>57</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67</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66</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586</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587</v>
      </c>
      <c r="E960" s="155"/>
      <c r="F960" s="156" t="s">
        <v>588</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589</v>
      </c>
      <c r="E961" s="158"/>
      <c r="F961" s="159" t="s">
        <v>590</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591</v>
      </c>
      <c r="E962" s="161" t="e">
        <f>E947</f>
        <v>#REF!</v>
      </c>
      <c r="F962" s="162" t="s">
        <v>592</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593</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92</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100</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594</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57</v>
      </c>
      <c r="F967" s="172" t="s">
        <v>595</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596</v>
      </c>
      <c r="F968" s="174" t="s">
        <v>323</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597</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598</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599</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600</v>
      </c>
      <c r="F972" s="177" t="s">
        <v>601</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57</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222</v>
      </c>
      <c r="F973" s="174" t="s">
        <v>602</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603</v>
      </c>
      <c r="E974" s="180" t="e">
        <f ca="1">BI737</f>
        <v>#REF!</v>
      </c>
      <c r="F974" s="181" t="s">
        <v>380</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604</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543</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2023-09-05T13:48:47Z</cp:lastPrinted>
  <dcterms:created xsi:type="dcterms:W3CDTF">2023-09-05T11:53:22Z</dcterms:created>
  <dcterms:modified xsi:type="dcterms:W3CDTF">2023-12-22T07:14:55Z</dcterms:modified>
</cp:coreProperties>
</file>