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sert\Downloads\"/>
    </mc:Choice>
  </mc:AlternateContent>
  <xr:revisionPtr revIDLastSave="0" documentId="8_{2CB45E72-2E30-46AA-A709-55480887B06E}" xr6:coauthVersionLast="47" xr6:coauthVersionMax="47" xr10:uidLastSave="{00000000-0000-0000-0000-000000000000}"/>
  <bookViews>
    <workbookView xWindow="-120" yWindow="-120" windowWidth="20730" windowHeight="11160" activeTab="1"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G944" i="3"/>
  <c r="C950" i="3" s="1"/>
  <c r="D943" i="3"/>
  <c r="D942" i="3"/>
  <c r="C942" i="3"/>
  <c r="D941" i="3"/>
  <c r="C941" i="3"/>
  <c r="D938" i="3"/>
  <c r="C938" i="3"/>
  <c r="D937" i="3"/>
  <c r="E936" i="3"/>
  <c r="D936" i="3"/>
  <c r="E935" i="3"/>
  <c r="E934" i="3"/>
  <c r="D934" i="3"/>
  <c r="C934" i="3"/>
  <c r="F929" i="3"/>
  <c r="F928" i="3"/>
  <c r="E928" i="3"/>
  <c r="F927" i="3"/>
  <c r="F905" i="3" s="1"/>
  <c r="G970" i="3" s="1"/>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4" i="3"/>
  <c r="F903" i="3"/>
  <c r="F902" i="3"/>
  <c r="C898" i="3"/>
  <c r="I890" i="3"/>
  <c r="H882" i="3"/>
  <c r="H878" i="3"/>
  <c r="H877" i="3"/>
  <c r="H867" i="3"/>
  <c r="N855" i="3"/>
  <c r="M855" i="3"/>
  <c r="N854" i="3"/>
  <c r="M854" i="3"/>
  <c r="N853" i="3"/>
  <c r="M853" i="3"/>
  <c r="L853" i="3"/>
  <c r="M852" i="3"/>
  <c r="N851" i="3"/>
  <c r="N850" i="3"/>
  <c r="N856" i="3" s="1"/>
  <c r="M850" i="3"/>
  <c r="Y827" i="3"/>
  <c r="Z827" i="3" s="1"/>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K789" i="3"/>
  <c r="N752" i="3" s="1"/>
  <c r="H789" i="3"/>
  <c r="R788" i="3"/>
  <c r="K788" i="3"/>
  <c r="H788" i="3"/>
  <c r="K787" i="3"/>
  <c r="H787" i="3"/>
  <c r="K786" i="3"/>
  <c r="H786" i="3"/>
  <c r="BA785" i="3"/>
  <c r="K785" i="3"/>
  <c r="H785" i="3"/>
  <c r="BA784" i="3"/>
  <c r="H784" i="3"/>
  <c r="L783" i="3"/>
  <c r="H783" i="3"/>
  <c r="R782" i="3"/>
  <c r="H782" i="3"/>
  <c r="H781" i="3"/>
  <c r="H780" i="3"/>
  <c r="H779" i="3"/>
  <c r="I775" i="3"/>
  <c r="M768" i="3"/>
  <c r="N767" i="3"/>
  <c r="N766" i="3"/>
  <c r="BA760" i="3"/>
  <c r="AZ760" i="3"/>
  <c r="N758" i="3"/>
  <c r="AB757" i="3"/>
  <c r="S757" i="3"/>
  <c r="N757" i="3"/>
  <c r="AG756" i="3"/>
  <c r="AG755" i="3"/>
  <c r="AE754" i="3"/>
  <c r="Z754" i="3"/>
  <c r="W753" i="3"/>
  <c r="N753" i="3"/>
  <c r="M753" i="3"/>
  <c r="W752" i="3"/>
  <c r="AX734" i="3" s="1"/>
  <c r="AJ751" i="3"/>
  <c r="AJ752" i="3" s="1"/>
  <c r="N751" i="3"/>
  <c r="M751"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X736" i="3"/>
  <c r="AX735" i="3"/>
  <c r="R735" i="3"/>
  <c r="O735" i="3"/>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2" i="3"/>
  <c r="AP713" i="3" s="1"/>
  <c r="Q712" i="3"/>
  <c r="AE711" i="3"/>
  <c r="AP710" i="3"/>
  <c r="AP711" i="3" s="1"/>
  <c r="Q710" i="3"/>
  <c r="AP708" i="3"/>
  <c r="AP709" i="3" s="1"/>
  <c r="AP706" i="3"/>
  <c r="AP707" i="3" s="1"/>
  <c r="AP705" i="3"/>
  <c r="L776" i="3" s="1"/>
  <c r="K776" i="3" s="1"/>
  <c r="S704" i="3"/>
  <c r="T704" i="3" s="1"/>
  <c r="T705" i="3" s="1"/>
  <c r="D234" i="3"/>
  <c r="D231" i="3"/>
  <c r="D230" i="3"/>
  <c r="C230" i="3"/>
  <c r="D229" i="3"/>
  <c r="C229" i="3"/>
  <c r="S23" i="3" s="1"/>
  <c r="D228" i="3"/>
  <c r="C228" i="3"/>
  <c r="C227" i="3"/>
  <c r="D226" i="3"/>
  <c r="C226" i="3"/>
  <c r="D225" i="3"/>
  <c r="C225" i="3"/>
  <c r="D224" i="3"/>
  <c r="C224" i="3"/>
  <c r="L223" i="3"/>
  <c r="I223" i="3" s="1"/>
  <c r="L222" i="3"/>
  <c r="I222" i="3" s="1"/>
  <c r="D222" i="3"/>
  <c r="C222" i="3"/>
  <c r="L221" i="3"/>
  <c r="I221" i="3" s="1"/>
  <c r="L220" i="3"/>
  <c r="I220" i="3" s="1"/>
  <c r="L219" i="3"/>
  <c r="I219" i="3"/>
  <c r="L218" i="3"/>
  <c r="I218" i="3" s="1"/>
  <c r="L217" i="3"/>
  <c r="I217" i="3"/>
  <c r="L216" i="3"/>
  <c r="I216" i="3"/>
  <c r="L215" i="3"/>
  <c r="I215" i="3"/>
  <c r="L214" i="3"/>
  <c r="I214" i="3" s="1"/>
  <c r="L213" i="3"/>
  <c r="I213" i="3"/>
  <c r="L212" i="3"/>
  <c r="I212" i="3"/>
  <c r="F212" i="3"/>
  <c r="L211" i="3"/>
  <c r="I211" i="3"/>
  <c r="F211" i="3"/>
  <c r="L210" i="3"/>
  <c r="I210" i="3"/>
  <c r="F210" i="3"/>
  <c r="L209" i="3"/>
  <c r="I209" i="3" s="1"/>
  <c r="L208" i="3"/>
  <c r="I208" i="3"/>
  <c r="L207" i="3"/>
  <c r="I207" i="3" s="1"/>
  <c r="L206" i="3"/>
  <c r="L205" i="3"/>
  <c r="G204" i="3"/>
  <c r="F204" i="3"/>
  <c r="G203" i="3"/>
  <c r="G202" i="3"/>
  <c r="G180" i="3" s="1"/>
  <c r="D202" i="3"/>
  <c r="B202" i="3"/>
  <c r="C201" i="3"/>
  <c r="D198" i="3"/>
  <c r="B198" i="3"/>
  <c r="D197" i="3"/>
  <c r="B197" i="3"/>
  <c r="D196" i="3"/>
  <c r="B196" i="3"/>
  <c r="B195" i="3"/>
  <c r="B194" i="3"/>
  <c r="B199" i="3" s="1"/>
  <c r="F193" i="3"/>
  <c r="H192" i="3"/>
  <c r="G190" i="3"/>
  <c r="F189" i="3"/>
  <c r="F187" i="3"/>
  <c r="C186" i="3"/>
  <c r="F182"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O95" i="3"/>
  <c r="P95" i="3" s="1"/>
  <c r="Q95" i="3" s="1"/>
  <c r="BJ94" i="3"/>
  <c r="BI94" i="3"/>
  <c r="P94" i="3"/>
  <c r="Q94" i="3" s="1"/>
  <c r="O94" i="3"/>
  <c r="BJ93" i="3"/>
  <c r="BI93" i="3"/>
  <c r="O93" i="3"/>
  <c r="P93" i="3" s="1"/>
  <c r="Q93" i="3" s="1"/>
  <c r="BJ92" i="3"/>
  <c r="BI92" i="3"/>
  <c r="Q92" i="3"/>
  <c r="P92" i="3"/>
  <c r="O92" i="3"/>
  <c r="O91" i="3"/>
  <c r="P91" i="3" s="1"/>
  <c r="Q91" i="3" s="1"/>
  <c r="O90" i="3"/>
  <c r="P90" i="3" s="1"/>
  <c r="Q90" i="3" s="1"/>
  <c r="P89" i="3"/>
  <c r="Q89" i="3" s="1"/>
  <c r="O89" i="3"/>
  <c r="P88" i="3"/>
  <c r="Q88" i="3" s="1"/>
  <c r="O88" i="3"/>
  <c r="O87" i="3"/>
  <c r="P87" i="3" s="1"/>
  <c r="Q87" i="3" s="1"/>
  <c r="O86" i="3"/>
  <c r="P86" i="3" s="1"/>
  <c r="Q86" i="3" s="1"/>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B42" i="3"/>
  <c r="N42" i="3"/>
  <c r="M42" i="3"/>
  <c r="AO41" i="3"/>
  <c r="AO42" i="3" s="1"/>
  <c r="AF41" i="3"/>
  <c r="AF42" i="3" s="1"/>
  <c r="BL40" i="3"/>
  <c r="P40" i="3"/>
  <c r="I40" i="3"/>
  <c r="I41" i="3" s="1"/>
  <c r="I42" i="3" s="1"/>
  <c r="I43" i="3" s="1"/>
  <c r="I44" i="3" s="1"/>
  <c r="I45" i="3" s="1"/>
  <c r="BL39" i="3"/>
  <c r="BL41" i="3" s="1"/>
  <c r="BL42" i="3" s="1"/>
  <c r="BJ39" i="3"/>
  <c r="AI39" i="3"/>
  <c r="AH39" i="3"/>
  <c r="AJ40" i="3" s="1"/>
  <c r="AE39" i="3"/>
  <c r="AE38" i="3" s="1"/>
  <c r="P39" i="3"/>
  <c r="Q39" i="3" s="1"/>
  <c r="O39" i="3"/>
  <c r="C39" i="3"/>
  <c r="X23" i="3" s="1"/>
  <c r="AG38" i="3"/>
  <c r="AI37" i="3"/>
  <c r="AH37" i="3"/>
  <c r="AJ36" i="3" s="1"/>
  <c r="X37" i="3"/>
  <c r="AA37" i="3" s="1"/>
  <c r="K37" i="3"/>
  <c r="AQ36" i="3"/>
  <c r="L36" i="3"/>
  <c r="I35" i="3"/>
  <c r="H35" i="3"/>
  <c r="AO34" i="3"/>
  <c r="AO35" i="3" s="1"/>
  <c r="I34" i="3"/>
  <c r="V33" i="3"/>
  <c r="U33" i="3"/>
  <c r="T33" i="3"/>
  <c r="W33" i="3" s="1"/>
  <c r="T30" i="3" s="1"/>
  <c r="D135" i="3" s="1"/>
  <c r="BM32" i="3"/>
  <c r="BJ32" i="3"/>
  <c r="BA32" i="3"/>
  <c r="AG32" i="3"/>
  <c r="AE32" i="3"/>
  <c r="U32" i="3"/>
  <c r="V32" i="3" s="1"/>
  <c r="W32" i="3" s="1"/>
  <c r="T29" i="3" s="1"/>
  <c r="D134" i="3" s="1"/>
  <c r="BJ31" i="3"/>
  <c r="BA31" i="3"/>
  <c r="AP31" i="3"/>
  <c r="AO31" i="3"/>
  <c r="AJ30" i="3"/>
  <c r="S30" i="3"/>
  <c r="E30" i="3"/>
  <c r="D30" i="3"/>
  <c r="C30" i="3"/>
  <c r="AY29" i="3"/>
  <c r="AB29" i="3"/>
  <c r="S29" i="3"/>
  <c r="F29" i="3"/>
  <c r="AK28" i="3"/>
  <c r="AJ28" i="3"/>
  <c r="Q28" i="3"/>
  <c r="P28" i="3"/>
  <c r="P29" i="3" s="1"/>
  <c r="BJ26" i="3"/>
  <c r="BC26" i="3"/>
  <c r="AF27" i="3" s="1"/>
  <c r="AR27" i="3" s="1"/>
  <c r="E26" i="3"/>
  <c r="D26" i="3"/>
  <c r="C26" i="3"/>
  <c r="DF25" i="3"/>
  <c r="BJ25" i="3"/>
  <c r="BC25" i="3"/>
  <c r="W25" i="3"/>
  <c r="T25" i="3"/>
  <c r="S25" i="3"/>
  <c r="Q25" i="3"/>
  <c r="P25" i="3"/>
  <c r="F25" i="3"/>
  <c r="C17" i="3" s="1"/>
  <c r="F16" i="3" s="1"/>
  <c r="BJ24" i="3"/>
  <c r="BC24" i="3"/>
  <c r="AX24" i="3"/>
  <c r="R24" i="3"/>
  <c r="O24" i="3"/>
  <c r="N24" i="3"/>
  <c r="BJ23" i="3"/>
  <c r="CS22" i="3"/>
  <c r="CS23" i="3" s="1"/>
  <c r="CS24" i="3" s="1"/>
  <c r="CS25" i="3" s="1"/>
  <c r="CS26" i="3" s="1"/>
  <c r="CS27" i="3" s="1"/>
  <c r="BJ22" i="3"/>
  <c r="BJ27" i="3" s="1"/>
  <c r="BB22" i="3"/>
  <c r="S22" i="3"/>
  <c r="O22" i="3"/>
  <c r="V21" i="3"/>
  <c r="S21" i="3"/>
  <c r="O21" i="3"/>
  <c r="BS20" i="3"/>
  <c r="BR20" i="3"/>
  <c r="BB20" i="3"/>
  <c r="D227" i="3" s="1"/>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AL14" i="3"/>
  <c r="AE14" i="3"/>
  <c r="S14" i="3"/>
  <c r="R14" i="3"/>
  <c r="P14" i="3"/>
  <c r="K14" i="3"/>
  <c r="CT13" i="3"/>
  <c r="CT14" i="3" s="1"/>
  <c r="CT15" i="3" s="1"/>
  <c r="CT16" i="3" s="1"/>
  <c r="CT17" i="3" s="1"/>
  <c r="CT18" i="3" s="1"/>
  <c r="CT19" i="3" s="1"/>
  <c r="CT20" i="3" s="1"/>
  <c r="CT21" i="3" s="1"/>
  <c r="CT22" i="3" s="1"/>
  <c r="CT23" i="3" s="1"/>
  <c r="CT24" i="3" s="1"/>
  <c r="CT25" i="3" s="1"/>
  <c r="CT26" i="3" s="1"/>
  <c r="CT27" i="3" s="1"/>
  <c r="W13" i="3"/>
  <c r="S13" i="3"/>
  <c r="P13" i="3"/>
  <c r="S12" i="3"/>
  <c r="R12" i="3"/>
  <c r="P12" i="3"/>
  <c r="AD11" i="3"/>
  <c r="F213" i="3" s="1"/>
  <c r="S11" i="3"/>
  <c r="P11" i="3"/>
  <c r="V9" i="3"/>
  <c r="Q9" i="3"/>
  <c r="AJ8" i="3"/>
  <c r="P4" i="3" s="1"/>
  <c r="P6" i="3" s="1"/>
  <c r="T8" i="3"/>
  <c r="N8" i="3"/>
  <c r="V7" i="3"/>
  <c r="T7" i="3"/>
  <c r="P106" i="3" s="1"/>
  <c r="N7" i="3"/>
  <c r="N10" i="3" s="1"/>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1" i="4"/>
  <c r="E912" i="4" s="1"/>
  <c r="E910" i="4"/>
  <c r="D910" i="4"/>
  <c r="B910" i="4"/>
  <c r="G909" i="4"/>
  <c r="D909" i="4"/>
  <c r="B909" i="4"/>
  <c r="G908" i="4"/>
  <c r="G945" i="4" s="1"/>
  <c r="E908" i="4"/>
  <c r="D908" i="4"/>
  <c r="B908" i="4"/>
  <c r="G907" i="4"/>
  <c r="B907"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M768" i="4" s="1"/>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N752" i="4" s="1"/>
  <c r="R788" i="4"/>
  <c r="K788" i="4"/>
  <c r="K787" i="4"/>
  <c r="K786" i="4"/>
  <c r="BA785" i="4"/>
  <c r="K785" i="4"/>
  <c r="BA784" i="4"/>
  <c r="L783" i="4"/>
  <c r="R782" i="4"/>
  <c r="I775" i="4"/>
  <c r="N738" i="4" s="1"/>
  <c r="G919" i="4" s="1"/>
  <c r="AZ760" i="4"/>
  <c r="N758" i="4"/>
  <c r="AB757" i="4"/>
  <c r="S757" i="4"/>
  <c r="N757" i="4"/>
  <c r="AG756" i="4"/>
  <c r="AG755" i="4"/>
  <c r="AE754" i="4"/>
  <c r="Z754" i="4"/>
  <c r="W753" i="4"/>
  <c r="N753" i="4"/>
  <c r="M753" i="4"/>
  <c r="W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6" i="4"/>
  <c r="Y727" i="4" s="1"/>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S23" i="4" s="1"/>
  <c r="D228" i="4"/>
  <c r="C228" i="4"/>
  <c r="C227" i="4"/>
  <c r="C226" i="4"/>
  <c r="D225" i="4"/>
  <c r="C225" i="4"/>
  <c r="D224" i="4"/>
  <c r="C224" i="4"/>
  <c r="L223" i="4"/>
  <c r="I223" i="4" s="1"/>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7" i="4"/>
  <c r="F184" i="4" s="1"/>
  <c r="F186" i="4"/>
  <c r="C186" i="4"/>
  <c r="G179" i="4"/>
  <c r="G178" i="4"/>
  <c r="G177" i="4"/>
  <c r="I173" i="4"/>
  <c r="M168" i="4"/>
  <c r="I167" i="4"/>
  <c r="I163" i="4"/>
  <c r="I162" i="4"/>
  <c r="I161" i="4"/>
  <c r="H160" i="4"/>
  <c r="H158" i="4"/>
  <c r="H157" i="4"/>
  <c r="H159" i="4" s="1"/>
  <c r="H156" i="4"/>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O102" i="4"/>
  <c r="P102" i="4" s="1"/>
  <c r="Q102" i="4" s="1"/>
  <c r="BJ101" i="4"/>
  <c r="O101" i="4"/>
  <c r="P101" i="4" s="1"/>
  <c r="Q101" i="4" s="1"/>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O94" i="4"/>
  <c r="P94" i="4" s="1"/>
  <c r="Q94" i="4" s="1"/>
  <c r="BJ93" i="4"/>
  <c r="BI93" i="4"/>
  <c r="O93" i="4"/>
  <c r="P93" i="4" s="1"/>
  <c r="Q93" i="4" s="1"/>
  <c r="BJ92" i="4"/>
  <c r="BI92" i="4"/>
  <c r="O92" i="4"/>
  <c r="P92" i="4" s="1"/>
  <c r="Q92" i="4" s="1"/>
  <c r="O91" i="4"/>
  <c r="P91" i="4" s="1"/>
  <c r="Q91" i="4" s="1"/>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P40" i="4"/>
  <c r="Q40" i="4" s="1"/>
  <c r="I40" i="4"/>
  <c r="I41" i="4" s="1"/>
  <c r="I42" i="4" s="1"/>
  <c r="I43" i="4" s="1"/>
  <c r="I44" i="4" s="1"/>
  <c r="I45" i="4" s="1"/>
  <c r="BL39" i="4"/>
  <c r="BL41" i="4" s="1"/>
  <c r="BL42" i="4" s="1"/>
  <c r="BJ39" i="4"/>
  <c r="AI39" i="4"/>
  <c r="AH39" i="4"/>
  <c r="AE39" i="4"/>
  <c r="AE38" i="4" s="1"/>
  <c r="P39" i="4"/>
  <c r="Q39" i="4" s="1"/>
  <c r="O39" i="4"/>
  <c r="AG38" i="4"/>
  <c r="AI37" i="4"/>
  <c r="AH37" i="4"/>
  <c r="X37" i="4"/>
  <c r="AA37" i="4" s="1"/>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AL14" i="4"/>
  <c r="AE14" i="4"/>
  <c r="I164" i="4" s="1"/>
  <c r="R14" i="4"/>
  <c r="P14" i="4"/>
  <c r="CT13" i="4"/>
  <c r="CT14" i="4" s="1"/>
  <c r="CT15" i="4" s="1"/>
  <c r="CT16" i="4" s="1"/>
  <c r="CT17" i="4" s="1"/>
  <c r="CT18" i="4" s="1"/>
  <c r="CT19" i="4" s="1"/>
  <c r="CT20" i="4" s="1"/>
  <c r="CT21" i="4" s="1"/>
  <c r="CT22" i="4" s="1"/>
  <c r="CT23" i="4" s="1"/>
  <c r="CT24" i="4" s="1"/>
  <c r="CT25" i="4" s="1"/>
  <c r="CT26" i="4" s="1"/>
  <c r="CT27" i="4" s="1"/>
  <c r="W13" i="4"/>
  <c r="S13" i="4"/>
  <c r="P13" i="4"/>
  <c r="S12" i="4"/>
  <c r="R12" i="4"/>
  <c r="P12" i="4"/>
  <c r="S14" i="4"/>
  <c r="AD11" i="4"/>
  <c r="P11" i="4"/>
  <c r="Q9" i="4"/>
  <c r="AJ8" i="4"/>
  <c r="P4" i="4" s="1"/>
  <c r="P6" i="4" s="1"/>
  <c r="T8" i="4"/>
  <c r="S11" i="4"/>
  <c r="V7" i="4"/>
  <c r="V8" i="4" s="1"/>
  <c r="T7" i="4"/>
  <c r="P106" i="4" s="1"/>
  <c r="C7" i="4"/>
  <c r="G3" i="4"/>
  <c r="X1" i="4"/>
  <c r="Y1" i="4" s="1"/>
  <c r="Y2" i="4" s="1"/>
  <c r="S1" i="4"/>
  <c r="H167" i="4" s="1"/>
  <c r="B5" i="1"/>
  <c r="B4" i="1"/>
  <c r="AU44" i="1"/>
  <c r="AV44" i="1"/>
  <c r="AV45" i="1"/>
  <c r="C39" i="1"/>
  <c r="C40" i="1"/>
  <c r="AD738" i="3" l="1"/>
  <c r="AA738" i="3"/>
  <c r="AB747" i="3" s="1"/>
  <c r="I779" i="3" s="1"/>
  <c r="AD750" i="3"/>
  <c r="R39" i="4"/>
  <c r="O36" i="4" s="1"/>
  <c r="R5" i="4"/>
  <c r="H193" i="4"/>
  <c r="F185" i="4"/>
  <c r="N756" i="4"/>
  <c r="E907" i="4"/>
  <c r="E909" i="4"/>
  <c r="F26" i="3"/>
  <c r="J66" i="3" s="1"/>
  <c r="K66" i="3" s="1"/>
  <c r="C18" i="3" s="1"/>
  <c r="C37" i="3" s="1"/>
  <c r="R39" i="3"/>
  <c r="O36" i="3" s="1"/>
  <c r="Q40" i="3"/>
  <c r="R40" i="3" s="1"/>
  <c r="O37" i="3" s="1"/>
  <c r="AE750" i="3"/>
  <c r="F213" i="4"/>
  <c r="AJ36" i="4"/>
  <c r="V8" i="3"/>
  <c r="AI40" i="3"/>
  <c r="AA737" i="3"/>
  <c r="AM737" i="3" s="1"/>
  <c r="N25" i="3"/>
  <c r="C951" i="3"/>
  <c r="N755" i="3"/>
  <c r="F182" i="4"/>
  <c r="F30" i="3"/>
  <c r="F183" i="4"/>
  <c r="E906" i="4"/>
  <c r="N756" i="3"/>
  <c r="F188" i="4"/>
  <c r="O7" i="3"/>
  <c r="O19" i="3" s="1"/>
  <c r="J797" i="3"/>
  <c r="K880" i="3"/>
  <c r="K77" i="3"/>
  <c r="G145" i="3"/>
  <c r="G142" i="3" s="1"/>
  <c r="F143" i="3"/>
  <c r="M49" i="3"/>
  <c r="BF20" i="4"/>
  <c r="BF26" i="4" s="1"/>
  <c r="BM20" i="3"/>
  <c r="BM26" i="3" s="1"/>
  <c r="I902" i="3"/>
  <c r="BN20" i="3"/>
  <c r="BU24" i="3"/>
  <c r="BU22" i="3"/>
  <c r="BU27" i="3" s="1"/>
  <c r="BU26" i="3"/>
  <c r="BL20" i="3"/>
  <c r="BL24" i="3" s="1"/>
  <c r="BJ20" i="3"/>
  <c r="BI19" i="3"/>
  <c r="BF20" i="3"/>
  <c r="BF25" i="3" s="1"/>
  <c r="BS21" i="3"/>
  <c r="BM23" i="3"/>
  <c r="BM22"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F14" i="3"/>
  <c r="C10" i="3" s="1"/>
  <c r="J187" i="3"/>
  <c r="U21" i="3"/>
  <c r="BE26" i="3"/>
  <c r="BE24" i="3"/>
  <c r="BE25" i="3"/>
  <c r="BE22" i="3"/>
  <c r="BE27" i="3" s="1"/>
  <c r="AG36" i="3"/>
  <c r="AI28" i="3"/>
  <c r="AF28" i="3"/>
  <c r="AG37" i="3" s="1"/>
  <c r="AI36" i="3"/>
  <c r="M742" i="3"/>
  <c r="M756" i="3" s="1"/>
  <c r="BA43" i="3"/>
  <c r="AF25" i="3" s="1"/>
  <c r="N81" i="3"/>
  <c r="M169" i="3" s="1"/>
  <c r="V22" i="3"/>
  <c r="U22" i="3" s="1"/>
  <c r="BP22" i="3"/>
  <c r="BL23" i="3"/>
  <c r="BS23" i="3"/>
  <c r="BP24" i="3"/>
  <c r="BP26" i="3"/>
  <c r="AR719" i="3"/>
  <c r="AR718" i="3" s="1"/>
  <c r="AY720" i="3" s="1"/>
  <c r="G960" i="3"/>
  <c r="AV742" i="3"/>
  <c r="BP23" i="3"/>
  <c r="X22" i="3"/>
  <c r="BS22" i="3"/>
  <c r="BS27" i="3" s="1"/>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Z814" i="3"/>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F31" i="3" l="1"/>
  <c r="F32" i="3"/>
  <c r="F143" i="4"/>
  <c r="F33" i="3"/>
  <c r="BM25" i="3"/>
  <c r="K876" i="3"/>
  <c r="D940" i="3" s="1"/>
  <c r="BM24" i="3"/>
  <c r="BM27" i="3" s="1"/>
  <c r="O25" i="3"/>
  <c r="BM35" i="3"/>
  <c r="Q19" i="4"/>
  <c r="W81" i="4" s="1"/>
  <c r="BG733" i="4"/>
  <c r="BF23" i="3"/>
  <c r="BF24" i="3"/>
  <c r="BG739" i="4"/>
  <c r="BG732" i="4"/>
  <c r="BG737" i="4" s="1"/>
  <c r="BF22" i="3"/>
  <c r="BF27" i="3" s="1"/>
  <c r="BG734" i="4"/>
  <c r="BF26"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M33" i="3" l="1"/>
  <c r="BN33" i="3" s="1"/>
  <c r="BM34" i="3"/>
  <c r="BN34" i="3" s="1"/>
  <c r="BP28" i="3"/>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9" i="3" l="1"/>
  <c r="BB88" i="3"/>
  <c r="BP31" i="3" s="1"/>
  <c r="BM31" i="3" s="1"/>
  <c r="M770" i="4"/>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M771" i="3" l="1"/>
  <c r="G971" i="3"/>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<sst xmlns="http://schemas.openxmlformats.org/spreadsheetml/2006/main" count="2763" uniqueCount="611">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</sst>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2">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5">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b/>
        <i val="0"/>
        <condense val="0"/>
        <extend val="0"/>
        <color auto="1"/>
      </font>
      <fill>
        <patternFill>
          <bgColor indexed="4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של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zoomScaleNormal="100" workbookViewId="0">
      <selection activeCell="C15" sqref="C15"/>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3" t="s">
        <v>74</v>
      </c>
      <c r="D1" s="33"/>
      <c r="E1" s="33"/>
      <c r="F1" s="26"/>
    </row>
    <row r="2" spans="1:7" ht="15" thickTop="1" x14ac:dyDescent="0.2">
      <c r="A2" s="1" t="s">
        <v>0</v>
      </c>
      <c r="B2" s="2" t="s">
        <v>1</v>
      </c>
      <c r="C2" t="s">
        <v>24</v>
      </c>
    </row>
    <row r="3" spans="1:7" x14ac:dyDescent="0.2">
      <c r="A3" s="1" t="s">
        <v>2</v>
      </c>
      <c r="B3" s="3">
        <v>1</v>
      </c>
      <c r="C3" t="s">
        <v>47</v>
      </c>
    </row>
    <row r="4" spans="1:7" x14ac:dyDescent="0.2">
      <c r="A4" s="1" t="s">
        <v>3</v>
      </c>
      <c r="B4" s="191">
        <f>IF(B9&gt;0%,0,6%)</f>
        <v>0.06</v>
      </c>
      <c r="C4" s="21" t="s">
        <v>36</v>
      </c>
      <c r="D4" s="21" t="s">
        <v>22</v>
      </c>
    </row>
    <row r="5" spans="1:7" x14ac:dyDescent="0.2">
      <c r="A5" s="1" t="s">
        <v>4</v>
      </c>
      <c r="B5" s="192">
        <f>IF(B2=B33,8.75,IF(B2=C33,8.75,0))</f>
        <v>8.75</v>
      </c>
      <c r="C5" s="21" t="s">
        <v>36</v>
      </c>
      <c r="D5" s="21" t="s">
        <v>23</v>
      </c>
    </row>
    <row r="6" spans="1:7" x14ac:dyDescent="0.2">
      <c r="A6" s="1" t="s">
        <v>38</v>
      </c>
      <c r="B6" s="5">
        <v>1</v>
      </c>
      <c r="C6" t="s">
        <v>24</v>
      </c>
    </row>
    <row r="7" spans="1:7" x14ac:dyDescent="0.2">
      <c r="A7" s="1" t="s">
        <v>5</v>
      </c>
      <c r="B7" s="4">
        <v>0</v>
      </c>
      <c r="C7" t="s">
        <v>45</v>
      </c>
    </row>
    <row r="8" spans="1:7" x14ac:dyDescent="0.2">
      <c r="A8" s="1" t="s">
        <v>37</v>
      </c>
      <c r="B8" s="4">
        <v>0.9</v>
      </c>
      <c r="C8" t="s">
        <v>44</v>
      </c>
    </row>
    <row r="9" spans="1:7" x14ac:dyDescent="0.2">
      <c r="A9" s="6" t="s">
        <v>6</v>
      </c>
      <c r="B9" s="4">
        <v>0</v>
      </c>
      <c r="C9" t="s">
        <v>46</v>
      </c>
    </row>
    <row r="10" spans="1:7" x14ac:dyDescent="0.2">
      <c r="A10" s="6" t="s">
        <v>7</v>
      </c>
      <c r="B10" s="4" t="s">
        <v>8</v>
      </c>
      <c r="C10" t="s">
        <v>25</v>
      </c>
      <c r="E10" s="10"/>
    </row>
    <row r="11" spans="1:7" ht="15" thickBot="1" x14ac:dyDescent="0.25">
      <c r="A11" s="16" t="s">
        <v>42</v>
      </c>
      <c r="B11" s="17" t="s">
        <v>28</v>
      </c>
      <c r="C11" t="s">
        <v>43</v>
      </c>
      <c r="E11" s="10"/>
    </row>
    <row r="12" spans="1:7" ht="15.75" thickTop="1" x14ac:dyDescent="0.25">
      <c r="A12" s="14" t="s">
        <v>42</v>
      </c>
      <c r="B12" s="15">
        <v>1</v>
      </c>
      <c r="C12" t="s">
        <v>51</v>
      </c>
    </row>
    <row r="13" spans="1:7" ht="15" x14ac:dyDescent="0.25">
      <c r="A13" s="14" t="s">
        <v>30</v>
      </c>
      <c r="B13" s="15">
        <v>0.5</v>
      </c>
      <c r="C13" t="s">
        <v>50</v>
      </c>
    </row>
    <row r="14" spans="1:7" ht="15" x14ac:dyDescent="0.25">
      <c r="A14" s="14" t="s">
        <v>31</v>
      </c>
      <c r="B14" s="15">
        <v>0.5</v>
      </c>
      <c r="C14" t="s">
        <v>49</v>
      </c>
      <c r="D14" t="s">
        <v>608</v>
      </c>
    </row>
    <row r="15" spans="1:7" ht="15.75" thickBot="1" x14ac:dyDescent="0.3">
      <c r="D15" s="13" t="s">
        <v>40</v>
      </c>
      <c r="E15" s="195">
        <v>0</v>
      </c>
      <c r="F15" s="196">
        <f>($E$15/24)+AX44</f>
        <v>0</v>
      </c>
      <c r="G15" s="11" t="s">
        <v>30</v>
      </c>
    </row>
    <row r="16" spans="1:7" ht="15.75" thickBot="1" x14ac:dyDescent="0.3">
      <c r="D16" s="13" t="s">
        <v>41</v>
      </c>
      <c r="E16" s="195">
        <v>25</v>
      </c>
      <c r="F16" s="196">
        <f>$E$16/30+AX45</f>
        <v>0.93333333333333335</v>
      </c>
      <c r="G16" s="11" t="s">
        <v>31</v>
      </c>
    </row>
    <row r="17" spans="1:69" x14ac:dyDescent="0.2">
      <c r="A17" s="6" t="s">
        <v>39</v>
      </c>
      <c r="C17" s="205"/>
      <c r="D17" s="205"/>
      <c r="E17" s="205"/>
    </row>
    <row r="18" spans="1:69" x14ac:dyDescent="0.2">
      <c r="C18" s="18"/>
      <c r="D18" s="18"/>
      <c r="E18" s="18"/>
      <c r="F18" s="6"/>
      <c r="H18" s="10"/>
    </row>
    <row r="19" spans="1:69" x14ac:dyDescent="0.2">
      <c r="A19" t="s">
        <v>48</v>
      </c>
      <c r="C19" s="18"/>
      <c r="D19" s="18"/>
      <c r="E19" s="18"/>
      <c r="F19" s="6"/>
      <c r="H19" s="10"/>
    </row>
    <row r="20" spans="1:69" ht="15" thickBot="1" x14ac:dyDescent="0.25">
      <c r="A20" s="7" t="s">
        <v>33</v>
      </c>
      <c r="B20" s="193">
        <v>0</v>
      </c>
      <c r="C20" s="18" t="s">
        <v>34</v>
      </c>
      <c r="D20" s="18"/>
      <c r="E20" s="18"/>
    </row>
    <row r="21" spans="1:69" ht="15" thickTop="1" x14ac:dyDescent="0.2">
      <c r="A21" s="6" t="s">
        <v>32</v>
      </c>
      <c r="B21" s="194">
        <v>0</v>
      </c>
      <c r="C21" s="18"/>
      <c r="D21" s="19"/>
      <c r="E21" s="18"/>
    </row>
    <row r="22" spans="1:69" x14ac:dyDescent="0.2">
      <c r="C22" s="18"/>
      <c r="D22" s="18"/>
      <c r="E22" s="18"/>
    </row>
    <row r="23" spans="1:69" x14ac:dyDescent="0.2">
      <c r="C23" s="18"/>
      <c r="D23" s="20"/>
      <c r="E23" s="20"/>
      <c r="F23" s="12"/>
    </row>
    <row r="24" spans="1:69" x14ac:dyDescent="0.2">
      <c r="B24" s="12"/>
      <c r="C24" s="18"/>
      <c r="D24" s="20"/>
      <c r="E24" s="20"/>
      <c r="F24" s="12"/>
    </row>
    <row r="25" spans="1:69" x14ac:dyDescent="0.2">
      <c r="A25" s="12"/>
      <c r="B25" s="12"/>
      <c r="C25" s="20"/>
      <c r="D25" s="20"/>
      <c r="E25" s="20"/>
      <c r="F25" s="12"/>
    </row>
    <row r="26" spans="1:69" x14ac:dyDescent="0.2">
      <c r="C26" s="20"/>
      <c r="D26" s="18"/>
      <c r="E26" s="18"/>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row>
    <row r="27" spans="1:69" x14ac:dyDescent="0.2">
      <c r="A27" s="197"/>
      <c r="B27" s="197"/>
      <c r="C27" s="198"/>
      <c r="D27" s="198"/>
      <c r="E27" s="198"/>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row>
    <row r="28" spans="1:69" x14ac:dyDescent="0.2">
      <c r="A28" s="197"/>
      <c r="B28" s="197"/>
      <c r="C28" s="197"/>
      <c r="D28" s="197"/>
      <c r="E28" s="197"/>
      <c r="F28" s="197"/>
      <c r="G28" s="197"/>
      <c r="H28" s="197"/>
      <c r="I28" s="197"/>
      <c r="J28" s="197"/>
      <c r="K28" s="197"/>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row>
    <row r="29" spans="1:69" x14ac:dyDescent="0.2">
      <c r="A29" s="197"/>
      <c r="B29" s="197"/>
      <c r="C29" s="197"/>
      <c r="D29" s="197"/>
      <c r="E29" s="197"/>
      <c r="F29" s="197"/>
      <c r="G29" s="197"/>
      <c r="H29" s="197"/>
      <c r="I29" s="197"/>
      <c r="J29" s="197"/>
      <c r="K29" s="197"/>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row>
    <row r="30" spans="1:69" x14ac:dyDescent="0.2">
      <c r="A30" s="197"/>
      <c r="B30" s="197"/>
      <c r="C30" s="197"/>
      <c r="D30" s="197"/>
      <c r="E30" s="197"/>
      <c r="F30" s="197"/>
      <c r="G30" s="197"/>
      <c r="H30" s="197"/>
      <c r="I30" s="197"/>
      <c r="J30" s="197"/>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row>
    <row r="31" spans="1:69" x14ac:dyDescent="0.2">
      <c r="A31" s="197"/>
      <c r="B31" s="197"/>
      <c r="C31" s="197"/>
      <c r="D31" s="197"/>
      <c r="E31" s="197"/>
      <c r="F31" s="197"/>
      <c r="G31" s="197"/>
      <c r="H31" s="197"/>
      <c r="I31" s="197"/>
      <c r="J31" s="197"/>
      <c r="K31" s="197"/>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row>
    <row r="32" spans="1:69" x14ac:dyDescent="0.2">
      <c r="A32" s="197"/>
      <c r="B32" s="197"/>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row>
    <row r="33" spans="1:69" ht="38.25" x14ac:dyDescent="0.2">
      <c r="A33" s="199" t="s">
        <v>10</v>
      </c>
      <c r="B33" s="199" t="s">
        <v>11</v>
      </c>
      <c r="C33" s="199" t="s">
        <v>1</v>
      </c>
      <c r="D33" s="199" t="s">
        <v>9</v>
      </c>
      <c r="E33" s="199" t="s">
        <v>12</v>
      </c>
      <c r="F33" s="199" t="s">
        <v>13</v>
      </c>
      <c r="G33" s="199" t="s">
        <v>14</v>
      </c>
      <c r="H33" s="199" t="s">
        <v>15</v>
      </c>
      <c r="I33" s="199" t="s">
        <v>16</v>
      </c>
      <c r="J33" s="199" t="s">
        <v>17</v>
      </c>
      <c r="K33" s="199" t="s">
        <v>18</v>
      </c>
      <c r="L33" s="199" t="s">
        <v>19</v>
      </c>
      <c r="M33" s="199" t="s">
        <v>20</v>
      </c>
      <c r="N33" s="200" t="s">
        <v>21</v>
      </c>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row>
    <row r="34" spans="1:69" x14ac:dyDescent="0.2">
      <c r="A34" s="197" t="s">
        <v>28</v>
      </c>
      <c r="B34" s="197"/>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7"/>
      <c r="BI34" s="197"/>
      <c r="BJ34" s="197"/>
      <c r="BK34" s="197"/>
      <c r="BL34" s="197"/>
      <c r="BM34" s="197"/>
      <c r="BN34" s="197"/>
      <c r="BO34" s="197"/>
      <c r="BP34" s="197"/>
      <c r="BQ34" s="197"/>
    </row>
    <row r="35" spans="1:69" x14ac:dyDescent="0.2">
      <c r="A35" s="197" t="s">
        <v>29</v>
      </c>
      <c r="B35" s="197"/>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row>
    <row r="36" spans="1:69" x14ac:dyDescent="0.2">
      <c r="A36" s="197" t="s">
        <v>26</v>
      </c>
      <c r="B36" s="197" t="s">
        <v>26</v>
      </c>
      <c r="C36" s="197">
        <v>0</v>
      </c>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c r="BE36" s="197"/>
      <c r="BF36" s="197"/>
      <c r="BG36" s="197"/>
      <c r="BH36" s="197"/>
      <c r="BI36" s="197"/>
      <c r="BJ36" s="197"/>
      <c r="BK36" s="197"/>
      <c r="BL36" s="197"/>
      <c r="BM36" s="197"/>
      <c r="BN36" s="197"/>
      <c r="BO36" s="197"/>
      <c r="BP36" s="197"/>
      <c r="BQ36" s="197"/>
    </row>
    <row r="37" spans="1:69" x14ac:dyDescent="0.2">
      <c r="A37" s="197" t="s">
        <v>8</v>
      </c>
      <c r="B37" s="197" t="s">
        <v>27</v>
      </c>
      <c r="C37" s="197">
        <v>1</v>
      </c>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c r="BE37" s="197"/>
      <c r="BF37" s="197"/>
      <c r="BG37" s="197"/>
      <c r="BH37" s="197"/>
      <c r="BI37" s="197"/>
      <c r="BJ37" s="197"/>
      <c r="BK37" s="197"/>
      <c r="BL37" s="197"/>
      <c r="BM37" s="197"/>
      <c r="BN37" s="197"/>
      <c r="BO37" s="197"/>
      <c r="BP37" s="197"/>
      <c r="BQ37" s="197"/>
    </row>
    <row r="38" spans="1:69" x14ac:dyDescent="0.2">
      <c r="A38" s="197" t="s">
        <v>27</v>
      </c>
      <c r="B38" s="197"/>
      <c r="C38" s="197">
        <v>2</v>
      </c>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row>
    <row r="39" spans="1:69" x14ac:dyDescent="0.2">
      <c r="A39" s="197">
        <v>0</v>
      </c>
      <c r="B39" s="197"/>
      <c r="C39" s="201">
        <f>IF(B10="כן",7%,0)</f>
        <v>7.0000000000000007E-2</v>
      </c>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f>B13/B12*(C39+C40+17%+12.5%)</f>
        <v>0.1825</v>
      </c>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row>
    <row r="40" spans="1:69" x14ac:dyDescent="0.2">
      <c r="A40" s="202">
        <v>0.1</v>
      </c>
      <c r="B40" s="197"/>
      <c r="C40" s="201">
        <f>IF(B9=0,0,3%)</f>
        <v>0</v>
      </c>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f>B14/B12*(C39+C40+17%)</f>
        <v>0.12000000000000001</v>
      </c>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row>
    <row r="41" spans="1:69" x14ac:dyDescent="0.2">
      <c r="A41" s="203">
        <v>0.115</v>
      </c>
      <c r="B41" s="197"/>
      <c r="C41" s="197"/>
      <c r="D41" s="197"/>
      <c r="E41" s="197"/>
      <c r="F41" s="197"/>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f>(AU40+AU39)</f>
        <v>0.30249999999999999</v>
      </c>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row>
    <row r="42" spans="1:69" x14ac:dyDescent="0.2">
      <c r="A42" s="197"/>
      <c r="B42" s="197"/>
      <c r="C42" s="197"/>
      <c r="D42" s="197"/>
      <c r="E42" s="197"/>
      <c r="F42" s="197"/>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row>
    <row r="43" spans="1:69" x14ac:dyDescent="0.2">
      <c r="A43" s="197"/>
      <c r="B43" s="197"/>
      <c r="C43" s="197"/>
      <c r="D43" s="197"/>
      <c r="E43" s="197"/>
      <c r="F43" s="197"/>
      <c r="G43" s="197"/>
      <c r="H43" s="197"/>
      <c r="I43" s="197"/>
      <c r="J43" s="197"/>
      <c r="K43" s="197"/>
      <c r="L43" s="197"/>
      <c r="M43" s="197"/>
      <c r="N43" s="197"/>
      <c r="O43" s="197"/>
      <c r="P43" s="197"/>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row>
    <row r="44" spans="1:69" x14ac:dyDescent="0.2">
      <c r="A44" s="197"/>
      <c r="B44" s="197"/>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f>IF(B10="כן",10%,0)</f>
        <v>0.1</v>
      </c>
      <c r="AV44" s="197">
        <f>($E$15/24)</f>
        <v>0</v>
      </c>
      <c r="AW44" s="197">
        <f>AV44/(AV45+AV44)</f>
        <v>0</v>
      </c>
      <c r="AX44" s="197">
        <f>AU44*AW44</f>
        <v>0</v>
      </c>
      <c r="AY44" s="197"/>
      <c r="AZ44" s="197"/>
      <c r="BA44" s="197"/>
      <c r="BB44" s="197"/>
      <c r="BC44" s="197"/>
      <c r="BD44" s="197"/>
      <c r="BE44" s="197"/>
      <c r="BF44" s="197"/>
      <c r="BG44" s="197"/>
      <c r="BH44" s="197"/>
      <c r="BI44" s="197"/>
      <c r="BJ44" s="197"/>
      <c r="BK44" s="197"/>
      <c r="BL44" s="197"/>
      <c r="BM44" s="197"/>
      <c r="BN44" s="197"/>
      <c r="BO44" s="197"/>
      <c r="BP44" s="197"/>
      <c r="BQ44" s="197"/>
    </row>
    <row r="45" spans="1:69" x14ac:dyDescent="0.2">
      <c r="A45" s="197"/>
      <c r="B45" s="197"/>
      <c r="C45" s="197"/>
      <c r="D45" s="197"/>
      <c r="E45" s="197"/>
      <c r="F45" s="197"/>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f>$E$16/30</f>
        <v>0.83333333333333337</v>
      </c>
      <c r="AW45" s="197">
        <f>AV45/(AV44+AV45)</f>
        <v>1</v>
      </c>
      <c r="AX45" s="197">
        <f>AW45*AU44</f>
        <v>0.1</v>
      </c>
      <c r="AY45" s="197"/>
      <c r="AZ45" s="197"/>
      <c r="BA45" s="197"/>
      <c r="BB45" s="197"/>
      <c r="BC45" s="197"/>
      <c r="BD45" s="197"/>
      <c r="BE45" s="197"/>
      <c r="BF45" s="197"/>
      <c r="BG45" s="197"/>
      <c r="BH45" s="197"/>
      <c r="BI45" s="197"/>
      <c r="BJ45" s="197"/>
      <c r="BK45" s="197"/>
      <c r="BL45" s="197"/>
      <c r="BM45" s="197"/>
      <c r="BN45" s="197"/>
      <c r="BO45" s="197"/>
      <c r="BP45" s="197"/>
      <c r="BQ45" s="197"/>
    </row>
    <row r="46" spans="1:69" x14ac:dyDescent="0.2">
      <c r="A46" s="197"/>
      <c r="B46" s="197"/>
      <c r="C46" s="197"/>
      <c r="D46" s="197"/>
      <c r="E46" s="197"/>
      <c r="F46" s="197"/>
      <c r="G46" s="197"/>
      <c r="H46" s="197"/>
      <c r="I46" s="197"/>
      <c r="J46" s="197"/>
      <c r="K46" s="197"/>
      <c r="L46" s="197"/>
      <c r="M46" s="197"/>
      <c r="N46" s="197"/>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row>
    <row r="47" spans="1:69" x14ac:dyDescent="0.2">
      <c r="A47" s="197"/>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row>
    <row r="48" spans="1:69" x14ac:dyDescent="0.2">
      <c r="A48" s="197"/>
      <c r="B48" s="197"/>
      <c r="C48" s="197"/>
      <c r="D48" s="197"/>
      <c r="E48" s="197"/>
      <c r="F48" s="197"/>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row>
    <row r="49" spans="1:69" x14ac:dyDescent="0.2">
      <c r="A49" s="197"/>
      <c r="B49" s="197"/>
      <c r="C49" s="197"/>
      <c r="D49" s="197"/>
      <c r="E49" s="197"/>
      <c r="F49" s="197"/>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row>
    <row r="50" spans="1:69" x14ac:dyDescent="0.2">
      <c r="A50" s="197"/>
      <c r="B50" s="197"/>
      <c r="C50" s="197"/>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row>
    <row r="51" spans="1:69" x14ac:dyDescent="0.2">
      <c r="A51" s="197"/>
      <c r="B51" s="197"/>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row>
    <row r="52" spans="1:69" x14ac:dyDescent="0.2">
      <c r="A52" s="197"/>
      <c r="B52" s="197"/>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row>
    <row r="53" spans="1:69" x14ac:dyDescent="0.2">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row>
    <row r="54" spans="1:69" x14ac:dyDescent="0.2">
      <c r="A54" s="197"/>
      <c r="B54" s="197"/>
      <c r="C54" s="197"/>
      <c r="D54" s="197"/>
      <c r="E54" s="197"/>
      <c r="F54" s="197"/>
      <c r="G54" s="197"/>
      <c r="H54" s="197"/>
      <c r="I54" s="197"/>
      <c r="J54" s="197"/>
      <c r="K54" s="197"/>
      <c r="L54" s="197"/>
      <c r="M54" s="197"/>
      <c r="N54" s="197"/>
      <c r="O54" s="197"/>
      <c r="P54" s="197"/>
      <c r="Q54" s="197"/>
      <c r="R54" s="197"/>
      <c r="S54" s="197"/>
      <c r="T54" s="197"/>
      <c r="U54" s="197"/>
      <c r="V54" s="197"/>
      <c r="W54" s="197"/>
      <c r="X54" s="197"/>
      <c r="Y54" s="197"/>
      <c r="Z54" s="197"/>
      <c r="AA54" s="197"/>
      <c r="AB54" s="197"/>
      <c r="AC54" s="197"/>
      <c r="AD54" s="197"/>
      <c r="AE54" s="197"/>
      <c r="AF54" s="197"/>
      <c r="AG54" s="197"/>
      <c r="AH54" s="197"/>
      <c r="AI54" s="197"/>
      <c r="AJ54" s="197"/>
      <c r="AK54" s="197"/>
      <c r="AL54" s="197"/>
      <c r="AM54" s="197"/>
      <c r="AN54" s="197"/>
      <c r="AO54" s="197"/>
      <c r="AP54" s="197"/>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row>
    <row r="55" spans="1:69" x14ac:dyDescent="0.2">
      <c r="A55" s="197"/>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row>
    <row r="56" spans="1:69" x14ac:dyDescent="0.2">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row>
    <row r="57" spans="1:69" x14ac:dyDescent="0.2">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row>
    <row r="58" spans="1:69" x14ac:dyDescent="0.2">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row>
    <row r="59" spans="1:69" x14ac:dyDescent="0.2">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197"/>
      <c r="AF59" s="197"/>
      <c r="AG59" s="197"/>
      <c r="AH59" s="197"/>
      <c r="AI59" s="197"/>
      <c r="AJ59" s="197"/>
      <c r="AK59" s="197"/>
      <c r="AL59" s="197"/>
      <c r="AM59" s="197"/>
      <c r="AN59" s="197"/>
      <c r="AO59" s="197"/>
      <c r="AP59" s="197"/>
      <c r="AQ59" s="197"/>
      <c r="AR59" s="197"/>
      <c r="AS59" s="197"/>
      <c r="AT59" s="197"/>
      <c r="AU59" s="197"/>
      <c r="AV59" s="197"/>
      <c r="AW59" s="197"/>
      <c r="AX59" s="197"/>
      <c r="AY59" s="197"/>
      <c r="AZ59" s="197"/>
      <c r="BA59" s="197"/>
      <c r="BB59" s="197"/>
      <c r="BC59" s="197"/>
      <c r="BD59" s="197"/>
      <c r="BE59" s="197"/>
      <c r="BF59" s="197"/>
      <c r="BG59" s="197"/>
      <c r="BH59" s="197"/>
      <c r="BI59" s="197"/>
      <c r="BJ59" s="197"/>
      <c r="BK59" s="197"/>
      <c r="BL59" s="197"/>
      <c r="BM59" s="197"/>
      <c r="BN59" s="197"/>
      <c r="BO59" s="197"/>
      <c r="BP59" s="197"/>
      <c r="BQ59" s="197"/>
    </row>
    <row r="60" spans="1:69" x14ac:dyDescent="0.2">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row>
    <row r="61" spans="1:69" x14ac:dyDescent="0.2">
      <c r="J61" s="197"/>
      <c r="K61" s="197"/>
      <c r="L61" s="197"/>
      <c r="M61" s="197"/>
      <c r="N61" s="197"/>
      <c r="O61" s="197"/>
      <c r="P61" s="197"/>
      <c r="Q61" s="197"/>
      <c r="R61" s="197"/>
      <c r="S61" s="197"/>
      <c r="T61" s="197"/>
      <c r="U61" s="197"/>
      <c r="V61" s="197"/>
      <c r="W61" s="197"/>
      <c r="X61" s="197"/>
      <c r="Y61" s="197"/>
      <c r="Z61" s="197"/>
      <c r="AA61" s="197"/>
      <c r="AB61" s="197"/>
      <c r="AC61" s="197"/>
      <c r="AD61" s="197"/>
      <c r="AE61" s="197"/>
      <c r="AF61" s="197"/>
      <c r="AG61" s="197"/>
      <c r="AH61" s="197"/>
      <c r="AI61" s="197"/>
      <c r="AJ61" s="197"/>
      <c r="AK61" s="197"/>
      <c r="AL61" s="197"/>
      <c r="AM61" s="197"/>
      <c r="AN61" s="197"/>
      <c r="AO61" s="197"/>
      <c r="AP61" s="197"/>
      <c r="AQ61" s="197"/>
      <c r="AR61" s="197"/>
      <c r="AS61" s="197"/>
      <c r="AT61" s="197"/>
      <c r="AU61" s="197"/>
      <c r="AV61" s="197"/>
      <c r="AW61" s="197"/>
      <c r="AX61" s="197"/>
      <c r="AY61" s="197"/>
      <c r="AZ61" s="197"/>
      <c r="BA61" s="197"/>
      <c r="BB61" s="197"/>
      <c r="BC61" s="197"/>
      <c r="BD61" s="197"/>
      <c r="BE61" s="197"/>
      <c r="BF61" s="197"/>
      <c r="BG61" s="197"/>
      <c r="BH61" s="197"/>
      <c r="BI61" s="197"/>
      <c r="BJ61" s="197"/>
      <c r="BK61" s="197"/>
      <c r="BL61" s="197"/>
      <c r="BM61" s="197"/>
      <c r="BN61" s="197"/>
      <c r="BO61" s="197"/>
      <c r="BP61" s="197"/>
      <c r="BQ61" s="197"/>
    </row>
    <row r="62" spans="1:69" x14ac:dyDescent="0.2">
      <c r="J62" s="197"/>
      <c r="K62" s="197"/>
      <c r="L62" s="197"/>
      <c r="M62" s="197"/>
      <c r="N62" s="197"/>
      <c r="O62" s="197"/>
      <c r="P62" s="197"/>
      <c r="Q62" s="197"/>
      <c r="R62" s="197"/>
      <c r="S62" s="197"/>
      <c r="T62" s="197"/>
      <c r="U62" s="197"/>
      <c r="V62" s="197"/>
      <c r="W62" s="197"/>
      <c r="X62" s="197"/>
      <c r="Y62" s="197"/>
      <c r="Z62" s="197"/>
      <c r="AA62" s="197"/>
      <c r="AB62" s="197"/>
      <c r="AC62" s="197"/>
      <c r="AD62" s="197"/>
      <c r="AE62" s="197"/>
      <c r="AF62" s="197"/>
      <c r="AG62" s="197"/>
      <c r="AH62" s="197"/>
      <c r="AI62" s="197"/>
      <c r="AJ62" s="197"/>
      <c r="AK62" s="197"/>
      <c r="AL62" s="197"/>
      <c r="AM62" s="197"/>
      <c r="AN62" s="197"/>
      <c r="AO62" s="197"/>
      <c r="AP62" s="197"/>
      <c r="AQ62" s="197"/>
      <c r="AR62" s="197"/>
      <c r="AS62" s="197"/>
      <c r="AT62" s="197"/>
      <c r="AU62" s="197"/>
      <c r="AV62" s="197"/>
      <c r="AW62" s="197"/>
      <c r="AX62" s="197"/>
      <c r="AY62" s="197"/>
      <c r="AZ62" s="197"/>
      <c r="BA62" s="197"/>
      <c r="BB62" s="197"/>
      <c r="BC62" s="197"/>
      <c r="BD62" s="197"/>
      <c r="BE62" s="197"/>
      <c r="BF62" s="197"/>
      <c r="BG62" s="197"/>
      <c r="BH62" s="197"/>
      <c r="BI62" s="197"/>
      <c r="BJ62" s="197"/>
      <c r="BK62" s="197"/>
      <c r="BL62" s="197"/>
      <c r="BM62" s="197"/>
      <c r="BN62" s="197"/>
      <c r="BO62" s="197"/>
      <c r="BP62" s="197"/>
      <c r="BQ62" s="197"/>
    </row>
    <row r="63" spans="1:69" x14ac:dyDescent="0.2">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c r="AK63" s="197"/>
      <c r="AL63" s="197"/>
      <c r="AM63" s="197"/>
      <c r="AN63" s="197"/>
      <c r="AO63" s="197"/>
      <c r="AP63" s="197"/>
      <c r="AQ63" s="197"/>
      <c r="AR63" s="197"/>
      <c r="AS63" s="197"/>
      <c r="AT63" s="197"/>
      <c r="AU63" s="197"/>
      <c r="AV63" s="197"/>
      <c r="AW63" s="197"/>
      <c r="AX63" s="197"/>
      <c r="AY63" s="197"/>
      <c r="AZ63" s="197"/>
      <c r="BA63" s="197"/>
      <c r="BB63" s="197"/>
      <c r="BC63" s="197"/>
      <c r="BD63" s="197"/>
      <c r="BE63" s="197"/>
      <c r="BF63" s="197"/>
      <c r="BG63" s="197"/>
      <c r="BH63" s="197"/>
      <c r="BI63" s="197"/>
      <c r="BJ63" s="197"/>
      <c r="BK63" s="197"/>
      <c r="BL63" s="197"/>
      <c r="BM63" s="197"/>
      <c r="BN63" s="197"/>
      <c r="BO63" s="197"/>
      <c r="BP63" s="197"/>
      <c r="BQ63" s="197"/>
    </row>
    <row r="64" spans="1:69" x14ac:dyDescent="0.2">
      <c r="J64" s="197"/>
      <c r="K64" s="197"/>
      <c r="L64" s="197"/>
      <c r="M64" s="197"/>
      <c r="N64" s="197"/>
      <c r="O64" s="197"/>
      <c r="P64" s="197"/>
      <c r="Q64" s="197"/>
      <c r="R64" s="197"/>
      <c r="S64" s="197"/>
      <c r="T64" s="197"/>
      <c r="U64" s="197"/>
      <c r="V64" s="197"/>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7"/>
      <c r="BI64" s="197"/>
      <c r="BJ64" s="197"/>
      <c r="BK64" s="197"/>
      <c r="BL64" s="197"/>
      <c r="BM64" s="197"/>
      <c r="BN64" s="197"/>
      <c r="BO64" s="197"/>
      <c r="BP64" s="197"/>
      <c r="BQ64" s="197"/>
    </row>
    <row r="65" spans="10:69" x14ac:dyDescent="0.2">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c r="AI65" s="197"/>
      <c r="AJ65" s="197"/>
      <c r="AK65" s="197"/>
      <c r="AL65" s="197"/>
      <c r="AM65" s="197"/>
      <c r="AN65" s="197"/>
      <c r="AO65" s="197"/>
      <c r="AP65" s="197"/>
      <c r="AQ65" s="197"/>
      <c r="AR65" s="197"/>
      <c r="AS65" s="197"/>
      <c r="AT65" s="197"/>
      <c r="AU65" s="197"/>
      <c r="AV65" s="197"/>
      <c r="AW65" s="197"/>
      <c r="AX65" s="197"/>
      <c r="AY65" s="197"/>
      <c r="AZ65" s="197"/>
      <c r="BA65" s="197"/>
      <c r="BB65" s="197"/>
      <c r="BC65" s="197"/>
      <c r="BD65" s="197"/>
      <c r="BE65" s="197"/>
      <c r="BF65" s="197"/>
      <c r="BG65" s="197"/>
      <c r="BH65" s="197"/>
      <c r="BI65" s="197"/>
      <c r="BJ65" s="197"/>
      <c r="BK65" s="197"/>
      <c r="BL65" s="197"/>
      <c r="BM65" s="197"/>
      <c r="BN65" s="197"/>
      <c r="BO65" s="197"/>
      <c r="BP65" s="197"/>
      <c r="BQ65" s="197"/>
    </row>
    <row r="66" spans="10:69" x14ac:dyDescent="0.2">
      <c r="J66" s="197"/>
      <c r="K66" s="197"/>
      <c r="L66" s="197"/>
      <c r="M66" s="197"/>
      <c r="N66" s="197"/>
      <c r="O66" s="197"/>
      <c r="P66" s="197"/>
      <c r="Q66" s="197"/>
      <c r="R66" s="197"/>
      <c r="S66" s="197"/>
      <c r="T66" s="197"/>
      <c r="U66" s="197"/>
      <c r="V66" s="197"/>
      <c r="W66" s="197"/>
      <c r="X66" s="197"/>
      <c r="Y66" s="197"/>
      <c r="Z66" s="197"/>
      <c r="AA66" s="197"/>
      <c r="AB66" s="197"/>
      <c r="AC66" s="197"/>
      <c r="AD66" s="197"/>
      <c r="AE66" s="197"/>
      <c r="AF66" s="197"/>
      <c r="AG66" s="197"/>
      <c r="AH66" s="197"/>
      <c r="AI66" s="197"/>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197"/>
      <c r="BH66" s="197"/>
      <c r="BI66" s="197"/>
      <c r="BJ66" s="197"/>
      <c r="BK66" s="197"/>
      <c r="BL66" s="197"/>
      <c r="BM66" s="197"/>
      <c r="BN66" s="197"/>
      <c r="BO66" s="197"/>
      <c r="BP66" s="197"/>
      <c r="BQ66" s="197"/>
    </row>
    <row r="67" spans="10:69" x14ac:dyDescent="0.2">
      <c r="J67" s="197"/>
      <c r="K67" s="197"/>
      <c r="L67" s="197"/>
      <c r="M67" s="197"/>
      <c r="N67" s="197"/>
      <c r="O67" s="197"/>
      <c r="P67" s="197"/>
      <c r="Q67" s="197"/>
      <c r="R67" s="197"/>
      <c r="S67" s="197"/>
      <c r="T67" s="197"/>
      <c r="U67" s="197"/>
      <c r="V67" s="197"/>
      <c r="W67" s="197"/>
      <c r="X67" s="197"/>
      <c r="Y67" s="197"/>
      <c r="Z67" s="197"/>
      <c r="AA67" s="197"/>
      <c r="AB67" s="197"/>
      <c r="AC67" s="197"/>
      <c r="AD67" s="197"/>
      <c r="AE67" s="197"/>
      <c r="AF67" s="197"/>
      <c r="AG67" s="197"/>
      <c r="AH67" s="197"/>
      <c r="AI67" s="197"/>
      <c r="AJ67" s="197"/>
      <c r="AK67" s="197"/>
      <c r="AL67" s="197"/>
      <c r="AM67" s="197"/>
      <c r="AN67" s="197"/>
      <c r="AO67" s="197"/>
      <c r="AP67" s="197"/>
      <c r="AQ67" s="197"/>
      <c r="AR67" s="197"/>
      <c r="AS67" s="197"/>
      <c r="AT67" s="197"/>
      <c r="AU67" s="197"/>
      <c r="AV67" s="197"/>
      <c r="AW67" s="197"/>
      <c r="AX67" s="197"/>
      <c r="AY67" s="197"/>
      <c r="AZ67" s="197"/>
      <c r="BA67" s="197"/>
      <c r="BB67" s="197"/>
      <c r="BC67" s="197"/>
      <c r="BD67" s="197"/>
      <c r="BE67" s="197"/>
      <c r="BF67" s="197"/>
      <c r="BG67" s="197"/>
      <c r="BH67" s="197"/>
      <c r="BI67" s="197"/>
      <c r="BJ67" s="197"/>
      <c r="BK67" s="197"/>
      <c r="BL67" s="197"/>
      <c r="BM67" s="197"/>
      <c r="BN67" s="197"/>
      <c r="BO67" s="197"/>
      <c r="BP67" s="197"/>
      <c r="BQ67" s="197"/>
    </row>
    <row r="68" spans="10:69" x14ac:dyDescent="0.2">
      <c r="J68" s="197"/>
      <c r="K68" s="197"/>
      <c r="L68" s="197"/>
      <c r="M68" s="197"/>
      <c r="N68" s="197"/>
      <c r="O68" s="197"/>
      <c r="P68" s="197"/>
      <c r="Q68" s="197"/>
      <c r="R68" s="197"/>
      <c r="S68" s="197"/>
      <c r="T68" s="197"/>
      <c r="U68" s="197"/>
      <c r="V68" s="197"/>
      <c r="W68" s="197"/>
      <c r="X68" s="197"/>
      <c r="Y68" s="197"/>
      <c r="Z68" s="197"/>
      <c r="AA68" s="197"/>
      <c r="AB68" s="197"/>
      <c r="AC68" s="197"/>
      <c r="AD68" s="197"/>
      <c r="AE68" s="197"/>
      <c r="AF68" s="197"/>
      <c r="AG68" s="197"/>
      <c r="AH68" s="197"/>
      <c r="AI68" s="197"/>
      <c r="AJ68" s="197"/>
      <c r="AK68" s="197"/>
      <c r="AL68" s="197"/>
      <c r="AM68" s="197"/>
      <c r="AN68" s="197"/>
      <c r="AO68" s="197"/>
      <c r="AP68" s="197"/>
      <c r="AQ68" s="197"/>
      <c r="AR68" s="197"/>
      <c r="AS68" s="197"/>
      <c r="AT68" s="197"/>
      <c r="AU68" s="197"/>
      <c r="AV68" s="197"/>
      <c r="AW68" s="197"/>
      <c r="AX68" s="197"/>
      <c r="AY68" s="197"/>
      <c r="AZ68" s="197"/>
      <c r="BA68" s="197"/>
      <c r="BB68" s="197"/>
      <c r="BC68" s="197"/>
      <c r="BD68" s="197"/>
      <c r="BE68" s="197"/>
      <c r="BF68" s="197"/>
      <c r="BG68" s="197"/>
      <c r="BH68" s="197"/>
      <c r="BI68" s="197"/>
      <c r="BJ68" s="197"/>
      <c r="BK68" s="197"/>
      <c r="BL68" s="197"/>
      <c r="BM68" s="197"/>
      <c r="BN68" s="197"/>
      <c r="BO68" s="197"/>
      <c r="BP68" s="197"/>
      <c r="BQ68" s="197"/>
    </row>
  </sheetData>
  <sheetProtection sheet="1" objects="1" scenarios="1"/>
  <mergeCells count="1">
    <mergeCell ref="C17:E17"/>
  </mergeCells>
  <conditionalFormatting sqref="A12:C14">
    <cfRule type="expression" dxfId="184" priority="1">
      <formula>$B$11=$A$35</formula>
    </cfRule>
    <cfRule type="expression" dxfId="183"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abSelected="1" zoomScaleNormal="100" workbookViewId="0">
      <selection activeCell="I14" sqref="I14"/>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4"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2" t="s">
        <v>52</v>
      </c>
      <c r="C1" s="23"/>
      <c r="D1" s="24"/>
      <c r="E1" s="24"/>
      <c r="F1" s="25"/>
      <c r="G1" s="26"/>
      <c r="H1" s="26" t="s">
        <v>53</v>
      </c>
      <c r="I1" s="26"/>
      <c r="J1" s="26"/>
      <c r="K1" s="26"/>
      <c r="L1" s="26"/>
      <c r="M1" s="26"/>
      <c r="N1" s="26"/>
      <c r="O1" s="26"/>
      <c r="P1" s="26">
        <f>N82</f>
        <v>8319.242761597714</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7.25" thickTop="1" thickBot="1" x14ac:dyDescent="0.3">
      <c r="B2" s="27" t="s">
        <v>59</v>
      </c>
      <c r="C2" s="28" t="s">
        <v>60</v>
      </c>
      <c r="D2" s="29"/>
      <c r="E2" s="29"/>
      <c r="F2" s="30" t="s">
        <v>609</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75" thickTop="1" thickBot="1" x14ac:dyDescent="0.2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23</v>
      </c>
      <c r="D6" s="36" t="s">
        <v>81</v>
      </c>
      <c r="E6" s="37"/>
      <c r="F6" s="40"/>
      <c r="G6" s="26"/>
      <c r="H6" s="26"/>
      <c r="I6" s="26"/>
      <c r="J6" s="26"/>
      <c r="K6" s="26"/>
      <c r="L6" s="26"/>
      <c r="M6" s="26"/>
      <c r="N6" s="26" t="s">
        <v>82</v>
      </c>
      <c r="O6" s="26" t="s">
        <v>83</v>
      </c>
      <c r="P6" s="26">
        <f>P4*C9</f>
        <v>3734.0816916999997</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91</v>
      </c>
      <c r="C8" s="42">
        <v>24.75</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99</v>
      </c>
      <c r="C9" s="44">
        <v>1.2583299999999999</v>
      </c>
      <c r="D9" s="206" t="s">
        <v>100</v>
      </c>
      <c r="E9" s="207"/>
      <c r="F9" s="26"/>
      <c r="G9" s="187" t="s">
        <v>607</v>
      </c>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25">
      <c r="B10" s="41" t="s">
        <v>110</v>
      </c>
      <c r="C10" s="188">
        <f>F14</f>
        <v>0.27440000000000003</v>
      </c>
      <c r="D10" s="45" t="s">
        <v>111</v>
      </c>
      <c r="E10" s="38"/>
      <c r="F10" s="26"/>
      <c r="G10" s="26"/>
      <c r="H10" s="186">
        <v>0</v>
      </c>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ht="15" x14ac:dyDescent="0.25">
      <c r="B11" s="46" t="s">
        <v>32</v>
      </c>
      <c r="C11" s="47">
        <v>0</v>
      </c>
      <c r="D11" s="206" t="s">
        <v>118</v>
      </c>
      <c r="E11" s="207"/>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ht="15" x14ac:dyDescent="0.25">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ht="15" x14ac:dyDescent="0.25">
      <c r="A13" s="48"/>
      <c r="B13" s="46" t="s">
        <v>5</v>
      </c>
      <c r="C13" s="47">
        <v>0</v>
      </c>
      <c r="D13" s="206" t="s">
        <v>118</v>
      </c>
      <c r="E13" s="207"/>
      <c r="F13" s="26"/>
      <c r="G13" s="26"/>
      <c r="H13" s="26"/>
      <c r="I13" s="26"/>
      <c r="J13" s="26"/>
      <c r="K13" s="26" t="e">
        <f>($I$7+$I$8+#REF!+$I$11+#REF!+500)*1.2%*($C$7)*C9</f>
        <v>#REF!</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6" t="s">
        <v>133</v>
      </c>
      <c r="E14" s="207"/>
      <c r="F14" s="26">
        <f>F16*(F15+1)</f>
        <v>0.27440000000000003</v>
      </c>
      <c r="G14" s="26"/>
      <c r="H14" s="26"/>
      <c r="I14" s="26"/>
      <c r="J14" s="26"/>
      <c r="K14" s="26" t="e">
        <f>($I$7+$I$8+#REF!+$I$11+#REF!+500)*1.2%*($C$8)*C9</f>
        <v>#REF!</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144</v>
      </c>
      <c r="C15" s="49">
        <v>0</v>
      </c>
      <c r="D15" s="206" t="s">
        <v>145</v>
      </c>
      <c r="E15" s="207">
        <v>0</v>
      </c>
      <c r="F15" s="26">
        <f>VLOOKUP(C16,CS12:CT27,2,TRUE)*0.01</f>
        <v>0.12</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25">
      <c r="B16" s="34" t="s">
        <v>148</v>
      </c>
      <c r="C16" s="39">
        <v>6</v>
      </c>
      <c r="D16" s="206" t="s">
        <v>149</v>
      </c>
      <c r="E16" s="207"/>
      <c r="F16" s="26">
        <f>IF(C19=F18,VLOOKUP(C17,DD11:DF31,2,TRUE)*0.01,VLOOKUP(C17,DD11:DF31,3,TRUE)*0.01)</f>
        <v>0.245</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ht="15" x14ac:dyDescent="0.25">
      <c r="B17" s="41" t="str">
        <f>IF(C19=F18,"כיתות רגילות","כיתות חינוך מיוחד")</f>
        <v>כיתות רגילות</v>
      </c>
      <c r="C17" s="190">
        <f>IF(C19=F18,F25,F29)</f>
        <v>15</v>
      </c>
      <c r="D17" s="40" t="s">
        <v>155</v>
      </c>
      <c r="E17" s="38"/>
      <c r="F17" s="26"/>
      <c r="G17" s="26"/>
      <c r="H17" s="26"/>
      <c r="I17" s="26"/>
      <c r="J17" s="26"/>
      <c r="K17" s="26"/>
      <c r="L17" s="26"/>
      <c r="M17" s="26"/>
      <c r="N17" s="26"/>
      <c r="O17" s="26"/>
      <c r="P17" s="26" t="s">
        <v>156</v>
      </c>
      <c r="Q17" s="26">
        <v>0</v>
      </c>
      <c r="R17" s="26">
        <f>R10*1.2%*C8</f>
        <v>2071.6254899999999</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ht="15" x14ac:dyDescent="0.25">
      <c r="B18" s="41" t="s">
        <v>167</v>
      </c>
      <c r="C18" s="190">
        <f>K66</f>
        <v>5</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23</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ht="15" x14ac:dyDescent="0.25">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c r="C20" s="35"/>
      <c r="D20" s="206"/>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c r="C21" s="50"/>
      <c r="D21" s="210"/>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2">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2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3">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2">
      <c r="B25" s="57" t="s">
        <v>261</v>
      </c>
      <c r="C25" s="57">
        <v>11</v>
      </c>
      <c r="D25" s="57">
        <v>4</v>
      </c>
      <c r="E25" s="57">
        <v>0</v>
      </c>
      <c r="F25" s="204">
        <f>SUM(C25:E25)</f>
        <v>15</v>
      </c>
      <c r="G25" s="26" t="s">
        <v>262</v>
      </c>
      <c r="H25" s="26"/>
      <c r="I25" s="26"/>
      <c r="J25" s="26"/>
      <c r="K25" s="26" t="s">
        <v>211</v>
      </c>
      <c r="L25" s="26"/>
      <c r="M25" s="26"/>
      <c r="N25" s="26">
        <f>SUM(N7:N24)</f>
        <v>593</v>
      </c>
      <c r="O25" s="26" t="e">
        <f>SUM(O7:O24)</f>
        <v>#N/A</v>
      </c>
      <c r="P25" s="26" t="str">
        <f>BF73</f>
        <v>תוספת ערבה</v>
      </c>
      <c r="Q25" s="26">
        <f>BG73</f>
        <v>0</v>
      </c>
      <c r="R25" s="26">
        <f>SUM(R10:R24)*'[1]נתוני מס'!L23</f>
        <v>345.65837174315999</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2">
      <c r="B26" s="51" t="s">
        <v>269</v>
      </c>
      <c r="C26" s="54">
        <f>C25*1</f>
        <v>11</v>
      </c>
      <c r="D26" s="54">
        <f>D25*1.1</f>
        <v>4.4000000000000004</v>
      </c>
      <c r="E26" s="54">
        <f>E25*2</f>
        <v>0</v>
      </c>
      <c r="F26" s="59">
        <f>SUM(C26:E26)</f>
        <v>15.4</v>
      </c>
      <c r="G26" s="26" t="s">
        <v>270</v>
      </c>
      <c r="H26" s="26"/>
      <c r="I26" s="26"/>
      <c r="J26" s="26"/>
      <c r="K26" s="26"/>
      <c r="L26" s="26"/>
      <c r="M26" s="26"/>
      <c r="N26" s="26"/>
      <c r="O26" s="26"/>
      <c r="P26" s="26"/>
      <c r="Q26" s="26" t="e">
        <f>SUM(Q10:Q25)</f>
        <v>#REF!</v>
      </c>
      <c r="R26" s="26">
        <f>SUM(R10:R24)*'[1]נתוני מס'!L22*(1+'[1]נתוני מס'!L23)</f>
        <v>467.52215102549854</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25">
      <c r="C27" s="60"/>
      <c r="D27" s="60" t="s">
        <v>182</v>
      </c>
      <c r="E27" s="60"/>
      <c r="G27" s="26"/>
      <c r="H27" s="26"/>
      <c r="I27" s="26"/>
      <c r="J27" s="26"/>
      <c r="K27" s="26"/>
      <c r="L27" s="26"/>
      <c r="M27" s="26"/>
      <c r="N27" s="26"/>
      <c r="O27" s="26"/>
      <c r="P27" s="26"/>
      <c r="Q27" s="26"/>
      <c r="R27" s="26">
        <f>SUM(R10:R26)</f>
        <v>10414.801960078659</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3">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25">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2">
      <c r="B30" s="51" t="s">
        <v>269</v>
      </c>
      <c r="C30" s="54">
        <f>C29*2.4</f>
        <v>36</v>
      </c>
      <c r="D30" s="54">
        <f>D29*2.2</f>
        <v>0</v>
      </c>
      <c r="E30" s="54">
        <f>E29*2</f>
        <v>0</v>
      </c>
      <c r="F30" s="185">
        <f>SUM(C30:E30)</f>
        <v>36</v>
      </c>
      <c r="G30" s="26"/>
      <c r="H30" s="26"/>
      <c r="I30" s="26"/>
      <c r="J30" s="26"/>
      <c r="K30" s="26"/>
      <c r="L30" s="26"/>
      <c r="M30" s="26"/>
      <c r="N30" s="26"/>
      <c r="O30" s="26" t="s">
        <v>299</v>
      </c>
      <c r="P30" s="26">
        <f>IF($C$21=$S$723,15%,15%*0.8)</f>
        <v>0.12</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25">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25">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2">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25">
      <c r="B34" s="52" t="s">
        <v>250</v>
      </c>
      <c r="C34" s="39">
        <v>341</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2">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2">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2">
      <c r="B37" s="26" t="s">
        <v>364</v>
      </c>
      <c r="C37" s="26">
        <f>C18</f>
        <v>5</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2">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2">
      <c r="B39" s="26" t="s">
        <v>374</v>
      </c>
      <c r="C39" s="26">
        <f>IF($C$38="א-ו",J111,IF($C$38="ז-ח",J112,IF($C$38="חטיבת ביניים",J112-2.5%,#REF!)))</f>
        <v>0</v>
      </c>
      <c r="D39" s="26" t="s">
        <v>375</v>
      </c>
      <c r="E39" s="26"/>
      <c r="F39" s="26"/>
      <c r="G39" s="26"/>
      <c r="H39" s="26"/>
      <c r="I39" s="26">
        <v>3</v>
      </c>
      <c r="J39" s="26">
        <f>IF(C21=S723,1*L853,IF(C21=S724,0.75*L853,IF(C21=S725,0.6836*L853,0.5948*L853)))</f>
        <v>0.5948</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2">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2">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2">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2">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23</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2">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
      <c r="B66" s="26"/>
      <c r="C66" s="26"/>
      <c r="D66" s="26"/>
      <c r="E66" s="26"/>
      <c r="F66" s="26"/>
      <c r="G66" s="26"/>
      <c r="H66" s="26"/>
      <c r="I66" s="26"/>
      <c r="J66" s="26">
        <f>IF(C19=F18,F26,F33)</f>
        <v>15.4</v>
      </c>
      <c r="K66" s="26">
        <f>VLOOKUP(J66,L54:M62,2,TRUE)</f>
        <v>5</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
      <c r="B70" s="26"/>
      <c r="C70" s="26"/>
      <c r="D70" s="26"/>
      <c r="E70" s="26"/>
      <c r="F70" s="26"/>
      <c r="G70" s="26"/>
      <c r="H70" s="26"/>
      <c r="I70" s="26"/>
      <c r="J70" s="26"/>
      <c r="K70" s="26"/>
      <c r="L70" s="26"/>
      <c r="M70" s="26"/>
      <c r="N70" s="26"/>
      <c r="O70" s="26">
        <v>755</v>
      </c>
      <c r="P70" s="26"/>
      <c r="Q70" s="26"/>
      <c r="R70" s="26" t="s">
        <v>440</v>
      </c>
      <c r="S70" s="26">
        <f>VLOOKUP(S69,S72:S88,1,1)</f>
        <v>12450.941207496717</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
      <c r="B72" s="26"/>
      <c r="C72" s="26"/>
      <c r="D72" s="26"/>
      <c r="E72" s="26"/>
      <c r="F72" s="26"/>
      <c r="G72" s="26"/>
      <c r="H72" s="26"/>
      <c r="I72" s="26"/>
      <c r="J72" s="26"/>
      <c r="K72" s="26"/>
      <c r="L72" s="26"/>
      <c r="M72" s="26"/>
      <c r="N72" s="26"/>
      <c r="O72" s="26">
        <v>628</v>
      </c>
      <c r="P72" s="26"/>
      <c r="Q72" s="26"/>
      <c r="R72" s="26">
        <f>IF(OR($C$5=$CB$16,$C$5=$CC$16),S72*1.05,S72)</f>
        <v>8319.242761597714</v>
      </c>
      <c r="S72" s="26">
        <f>VLOOKUP(INT(W18),ofek4,1+2,FALSE)</f>
        <v>8319.242761597714</v>
      </c>
      <c r="T72" s="26">
        <f>S72*0.75</f>
        <v>6239.4320711982855</v>
      </c>
      <c r="U72" s="26">
        <f t="shared" ref="U72:U88" si="5">T72*$U$70</f>
        <v>5687.5262270564772</v>
      </c>
      <c r="V72" s="26">
        <f t="shared" ref="V72:V88" si="6">U72*$S$64</f>
        <v>4948.0340670145943</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
      <c r="B73" s="26"/>
      <c r="C73" s="26"/>
      <c r="D73" s="26"/>
      <c r="E73" s="26"/>
      <c r="F73" s="26"/>
      <c r="G73" s="26"/>
      <c r="H73" s="26"/>
      <c r="I73" s="26"/>
      <c r="J73" s="26"/>
      <c r="K73" s="26"/>
      <c r="L73" s="26"/>
      <c r="M73" s="26"/>
      <c r="N73" s="26"/>
      <c r="O73" s="26">
        <v>543</v>
      </c>
      <c r="P73" s="26"/>
      <c r="Q73" s="26"/>
      <c r="R73" s="26">
        <f>R72*1.0375</f>
        <v>8631.2143651576298</v>
      </c>
      <c r="S73" s="26">
        <f>S72*1.0375</f>
        <v>8631.2143651576298</v>
      </c>
      <c r="T73" s="26">
        <f t="shared" ref="T73:T88" si="7">S73*0.75</f>
        <v>6473.4107738682223</v>
      </c>
      <c r="U73" s="26">
        <f t="shared" si="5"/>
        <v>5900.8084605710956</v>
      </c>
      <c r="V73" s="26">
        <f t="shared" si="6"/>
        <v>5133.5853445276416</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
      <c r="B74" s="26"/>
      <c r="C74" s="26"/>
      <c r="D74" s="26"/>
      <c r="E74" s="26"/>
      <c r="F74" s="26"/>
      <c r="G74" s="26"/>
      <c r="H74" s="26"/>
      <c r="I74" s="26" t="s">
        <v>448</v>
      </c>
      <c r="J74" s="26"/>
      <c r="K74" s="26"/>
      <c r="L74" s="26"/>
      <c r="M74" s="26"/>
      <c r="N74" s="26"/>
      <c r="O74" s="26">
        <v>543</v>
      </c>
      <c r="P74" s="26"/>
      <c r="Q74" s="26"/>
      <c r="R74" s="26">
        <f>IF(OR($C$5=$CB$16,$C$5=$CC$16),S74*1.05,S74)</f>
        <v>8943.185968717542</v>
      </c>
      <c r="S74" s="26">
        <f>VLOOKUP(INT(W18),ofek4,2+2,FALSE)</f>
        <v>8943.185968717542</v>
      </c>
      <c r="T74" s="26">
        <f t="shared" si="7"/>
        <v>6707.3894765381565</v>
      </c>
      <c r="U74" s="26">
        <f t="shared" si="5"/>
        <v>6114.0906940857121</v>
      </c>
      <c r="V74" s="26">
        <f t="shared" si="6"/>
        <v>5319.1366220406881</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
      <c r="B75" s="26"/>
      <c r="C75" s="26"/>
      <c r="D75" s="26"/>
      <c r="E75" s="26"/>
      <c r="F75" s="26"/>
      <c r="G75" s="26"/>
      <c r="H75" s="26"/>
      <c r="I75" s="26">
        <f>C25+D25+E25</f>
        <v>15</v>
      </c>
      <c r="J75" s="26"/>
      <c r="K75" s="26">
        <f>D25*0.1</f>
        <v>0.4</v>
      </c>
      <c r="L75" s="26">
        <f>E25*1</f>
        <v>0</v>
      </c>
      <c r="M75" s="26"/>
      <c r="N75" s="26"/>
      <c r="O75" s="26">
        <v>543</v>
      </c>
      <c r="P75" s="26"/>
      <c r="Q75" s="26"/>
      <c r="R75" s="26">
        <f>R74*1.0375</f>
        <v>9278.5554425444498</v>
      </c>
      <c r="S75" s="26">
        <f>S74*1.0375</f>
        <v>9278.5554425444498</v>
      </c>
      <c r="T75" s="26">
        <f t="shared" si="7"/>
        <v>6958.9165819083373</v>
      </c>
      <c r="U75" s="26">
        <f t="shared" si="5"/>
        <v>6343.3690951139261</v>
      </c>
      <c r="V75" s="26">
        <f t="shared" si="6"/>
        <v>5518.6042453672135</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
      <c r="B76" s="26"/>
      <c r="C76" s="26"/>
      <c r="D76" s="26"/>
      <c r="E76" s="26"/>
      <c r="F76" s="26"/>
      <c r="G76" s="26"/>
      <c r="H76" s="26"/>
      <c r="I76" s="26"/>
      <c r="J76" s="26"/>
      <c r="K76" s="26"/>
      <c r="L76" s="26"/>
      <c r="M76" s="26"/>
      <c r="N76" s="26"/>
      <c r="O76" s="26">
        <v>543</v>
      </c>
      <c r="P76" s="26"/>
      <c r="Q76" s="26"/>
      <c r="R76" s="26">
        <f>IF(OR($C$5=$CB$16,$C$5=$CC$16),S76*1.05,S76)</f>
        <v>9613.9249163713575</v>
      </c>
      <c r="S76" s="26">
        <f>VLOOKUP(INT(W18),ofek4,3+2,FALSE)</f>
        <v>9613.9249163713575</v>
      </c>
      <c r="T76" s="26">
        <f t="shared" si="7"/>
        <v>7210.4436872785182</v>
      </c>
      <c r="U76" s="26">
        <f t="shared" si="5"/>
        <v>6572.6474961421409</v>
      </c>
      <c r="V76" s="26">
        <f t="shared" si="6"/>
        <v>5718.0718686937398</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
      <c r="B77" s="26"/>
      <c r="C77" s="26"/>
      <c r="D77" s="26"/>
      <c r="E77" s="26"/>
      <c r="F77" s="26"/>
      <c r="G77" s="26"/>
      <c r="H77" s="26"/>
      <c r="I77" s="26"/>
      <c r="J77" s="26"/>
      <c r="K77" s="26">
        <f>I75+K75+L75</f>
        <v>15.4</v>
      </c>
      <c r="L77" s="26"/>
      <c r="M77" s="26"/>
      <c r="N77" s="26"/>
      <c r="O77" s="26">
        <v>543</v>
      </c>
      <c r="P77" s="26"/>
      <c r="Q77" s="26"/>
      <c r="R77" s="26">
        <f>R76*1.0375</f>
        <v>9974.447100735284</v>
      </c>
      <c r="S77" s="26">
        <f>S76*1.0375</f>
        <v>9974.447100735284</v>
      </c>
      <c r="T77" s="26">
        <f t="shared" si="7"/>
        <v>7480.835325551463</v>
      </c>
      <c r="U77" s="26">
        <f t="shared" si="5"/>
        <v>6819.1217772474711</v>
      </c>
      <c r="V77" s="26">
        <f t="shared" si="6"/>
        <v>5932.4995637697548</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
      <c r="B78" s="26"/>
      <c r="C78" s="26"/>
      <c r="D78" s="26"/>
      <c r="E78" s="26"/>
      <c r="F78" s="26"/>
      <c r="G78" s="26"/>
      <c r="H78" s="26"/>
      <c r="I78" s="26"/>
      <c r="J78" s="26"/>
      <c r="K78" s="26"/>
      <c r="L78" s="26"/>
      <c r="M78" s="26"/>
      <c r="N78" s="26"/>
      <c r="O78" s="26">
        <v>543</v>
      </c>
      <c r="P78" s="26"/>
      <c r="Q78" s="26"/>
      <c r="R78" s="26">
        <f>IF(OR($C$5=$CB$16,$C$5=$CC$16),S78*1.05,S78)</f>
        <v>10334.969285099209</v>
      </c>
      <c r="S78" s="26">
        <f>VLOOKUP(INT(W18),ofek4,4+2,FALSE)</f>
        <v>10334.969285099209</v>
      </c>
      <c r="T78" s="26">
        <f t="shared" si="7"/>
        <v>7751.226963824407</v>
      </c>
      <c r="U78" s="26">
        <f t="shared" si="5"/>
        <v>7065.5960583528013</v>
      </c>
      <c r="V78" s="26">
        <f t="shared" si="6"/>
        <v>6146.9272588457698</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
      <c r="B79" s="26"/>
      <c r="C79" s="26"/>
      <c r="D79" s="26"/>
      <c r="E79" s="26"/>
      <c r="F79" s="26"/>
      <c r="G79" s="26"/>
      <c r="H79" s="26"/>
      <c r="I79" s="26"/>
      <c r="J79" s="26"/>
      <c r="K79" s="26"/>
      <c r="L79" s="26"/>
      <c r="M79" s="26"/>
      <c r="N79" s="26"/>
      <c r="O79" s="26">
        <v>543</v>
      </c>
      <c r="P79" s="26"/>
      <c r="Q79" s="26"/>
      <c r="R79" s="26">
        <f>R78*1.0375</f>
        <v>10722.530633290429</v>
      </c>
      <c r="S79" s="26">
        <f>S78*1.0375</f>
        <v>10722.530633290429</v>
      </c>
      <c r="T79" s="26">
        <f t="shared" si="7"/>
        <v>8041.8979749678219</v>
      </c>
      <c r="U79" s="26">
        <f t="shared" si="5"/>
        <v>7330.5559105410312</v>
      </c>
      <c r="V79" s="26">
        <f t="shared" si="6"/>
        <v>6377.4370310524864</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
      <c r="B80" s="26"/>
      <c r="C80" s="26"/>
      <c r="D80" s="26"/>
      <c r="E80" s="26"/>
      <c r="F80" s="26"/>
      <c r="G80" s="26"/>
      <c r="H80" s="26"/>
      <c r="I80" s="26"/>
      <c r="J80" s="26"/>
      <c r="K80" s="26"/>
      <c r="L80" s="26"/>
      <c r="M80" s="26" t="s">
        <v>453</v>
      </c>
      <c r="N80" s="26"/>
      <c r="O80" s="26">
        <v>543</v>
      </c>
      <c r="P80" s="26"/>
      <c r="Q80" s="26"/>
      <c r="R80" s="26">
        <f>IF(OR($C$5=$CB$16,$C$5=$CC$16),S80*1.05,S80)</f>
        <v>11110.09198148165</v>
      </c>
      <c r="S80" s="26">
        <f>VLOOKUP(INT(W18),ofek4,5+2,FALSE)</f>
        <v>11110.09198148165</v>
      </c>
      <c r="T80" s="26">
        <f t="shared" si="7"/>
        <v>8332.5689861112369</v>
      </c>
      <c r="U80" s="26">
        <f t="shared" si="5"/>
        <v>7595.5157627292601</v>
      </c>
      <c r="V80" s="26">
        <f t="shared" si="6"/>
        <v>6607.9468032592013</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
      <c r="B81" s="26"/>
      <c r="C81" s="26"/>
      <c r="D81" s="26"/>
      <c r="E81" s="26"/>
      <c r="F81" s="26"/>
      <c r="G81" s="26"/>
      <c r="H81" s="26"/>
      <c r="I81" s="26"/>
      <c r="J81" s="26"/>
      <c r="K81" s="26"/>
      <c r="L81" s="26"/>
      <c r="M81" s="26" t="s">
        <v>278</v>
      </c>
      <c r="N81" s="26" t="str">
        <f>W18&amp;"  שנות הוראה  "</f>
        <v xml:space="preserve">23  שנות הוראה  </v>
      </c>
      <c r="O81" s="26">
        <v>543</v>
      </c>
      <c r="P81" s="26"/>
      <c r="Q81" s="26"/>
      <c r="R81" s="26">
        <f>R80*1.0375</f>
        <v>11526.720430787213</v>
      </c>
      <c r="S81" s="26">
        <f>S80*1.0375</f>
        <v>11526.720430787213</v>
      </c>
      <c r="T81" s="26">
        <f t="shared" si="7"/>
        <v>8645.0403230904085</v>
      </c>
      <c r="U81" s="26">
        <f t="shared" si="5"/>
        <v>7880.3476038316085</v>
      </c>
      <c r="V81" s="26">
        <f t="shared" si="6"/>
        <v>6855.7448083814224</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
      <c r="B82" s="26"/>
      <c r="C82" s="26"/>
      <c r="D82" s="26"/>
      <c r="E82" s="26"/>
      <c r="F82" s="26"/>
      <c r="G82" s="26"/>
      <c r="H82" s="26"/>
      <c r="I82" s="26"/>
      <c r="J82" s="26"/>
      <c r="K82" s="26"/>
      <c r="L82" s="26"/>
      <c r="M82" s="26">
        <v>1</v>
      </c>
      <c r="N82" s="26">
        <f t="shared" ref="N82:N98" si="8">IF($C$5=$CB$16,R72*1.05,IF($C$5=$CE$16,T72,IF($C$5=$CF$16,U72,IF(OR($C$5=$CC$16,$C$5=$CD$16),S72,U72*$S$64))))</f>
        <v>8319.242761597714</v>
      </c>
      <c r="O82" s="26"/>
      <c r="P82" s="26"/>
      <c r="Q82" s="26"/>
      <c r="R82" s="26">
        <f>IF(OR($C$5=$CB$16,$C$5=$CC$16),S82*1.05,S82)</f>
        <v>11943.348880092773</v>
      </c>
      <c r="S82" s="26">
        <f>VLOOKUP(INT(W18),ofek4,6+2,FALSE)</f>
        <v>11943.348880092773</v>
      </c>
      <c r="T82" s="26">
        <f t="shared" si="7"/>
        <v>8957.5116600695801</v>
      </c>
      <c r="U82" s="26">
        <f t="shared" si="5"/>
        <v>8165.1794449339559</v>
      </c>
      <c r="V82" s="26">
        <f t="shared" si="6"/>
        <v>7103.5428135036427</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
      <c r="B83" s="26"/>
      <c r="C83" s="26"/>
      <c r="D83" s="26"/>
      <c r="E83" s="26"/>
      <c r="F83" s="26"/>
      <c r="G83" s="26"/>
      <c r="H83" s="26"/>
      <c r="I83" s="26"/>
      <c r="J83" s="26"/>
      <c r="K83" s="26"/>
      <c r="L83" s="26"/>
      <c r="M83" s="26">
        <v>1.5</v>
      </c>
      <c r="N83" s="26">
        <f t="shared" si="8"/>
        <v>8631.2143651576298</v>
      </c>
      <c r="O83" s="26"/>
      <c r="P83" s="26"/>
      <c r="Q83" s="26"/>
      <c r="R83" s="26">
        <f>R82*1.0375</f>
        <v>12391.224463096254</v>
      </c>
      <c r="S83" s="26">
        <f>S82*1.0425</f>
        <v>12450.941207496717</v>
      </c>
      <c r="T83" s="26">
        <f t="shared" si="7"/>
        <v>9338.2059056225371</v>
      </c>
      <c r="U83" s="26">
        <f t="shared" si="5"/>
        <v>8512.1995713436481</v>
      </c>
      <c r="V83" s="26">
        <f t="shared" si="6"/>
        <v>7405.443383077547</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
      <c r="B84" s="26"/>
      <c r="C84" s="26"/>
      <c r="D84" s="26"/>
      <c r="E84" s="26"/>
      <c r="F84" s="26"/>
      <c r="G84" s="26"/>
      <c r="H84" s="26"/>
      <c r="I84" s="26"/>
      <c r="J84" s="26"/>
      <c r="K84" s="26"/>
      <c r="L84" s="26"/>
      <c r="M84" s="26">
        <v>2</v>
      </c>
      <c r="N84" s="26">
        <f t="shared" si="8"/>
        <v>8943.185968717542</v>
      </c>
      <c r="O84" s="26"/>
      <c r="P84" s="26"/>
      <c r="Q84" s="26"/>
      <c r="R84" s="26">
        <f>IF(OR($C$5=$CB$16,$C$5=$CC$16),S84*1.05,S84)</f>
        <v>12958.533534900658</v>
      </c>
      <c r="S84" s="26">
        <f>VLOOKUP(INT(W18),ofek4,7+2,FALSE)</f>
        <v>12958.533534900658</v>
      </c>
      <c r="T84" s="26">
        <f>S84*0.75</f>
        <v>9718.9001511754941</v>
      </c>
      <c r="U84" s="26">
        <f t="shared" si="5"/>
        <v>8859.2196977533422</v>
      </c>
      <c r="V84" s="26">
        <f t="shared" si="6"/>
        <v>7707.3439526514521</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
      <c r="B85" s="26"/>
      <c r="C85" s="26"/>
      <c r="D85" s="26"/>
      <c r="E85" s="26"/>
      <c r="F85" s="26"/>
      <c r="G85" s="26"/>
      <c r="H85" s="26"/>
      <c r="I85" s="26"/>
      <c r="J85" s="26"/>
      <c r="K85" s="26"/>
      <c r="L85" s="26"/>
      <c r="M85" s="26">
        <v>2.5</v>
      </c>
      <c r="N85" s="26">
        <f t="shared" si="8"/>
        <v>9278.5554425444498</v>
      </c>
      <c r="O85" s="26" t="s">
        <v>9</v>
      </c>
      <c r="P85" s="26" t="s">
        <v>12</v>
      </c>
      <c r="Q85" s="26" t="s">
        <v>13</v>
      </c>
      <c r="R85" s="26">
        <f>R84*1.0375</f>
        <v>13444.478542459434</v>
      </c>
      <c r="S85" s="26">
        <f>S84*1.0425</f>
        <v>13509.271210133937</v>
      </c>
      <c r="T85" s="26">
        <f t="shared" si="7"/>
        <v>10131.953407600453</v>
      </c>
      <c r="U85" s="26">
        <f t="shared" si="5"/>
        <v>9235.7365349078591</v>
      </c>
      <c r="V85" s="26">
        <f t="shared" si="6"/>
        <v>8034.9060706391392</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
      <c r="B86" s="26"/>
      <c r="C86" s="26"/>
      <c r="D86" s="26"/>
      <c r="E86" s="26"/>
      <c r="F86" s="26"/>
      <c r="G86" s="26"/>
      <c r="H86" s="26"/>
      <c r="I86" s="26"/>
      <c r="J86" s="26"/>
      <c r="K86" s="26"/>
      <c r="L86" s="26"/>
      <c r="M86" s="26">
        <v>3</v>
      </c>
      <c r="N86" s="26">
        <f t="shared" si="8"/>
        <v>9613.9249163713575</v>
      </c>
      <c r="O86" s="26">
        <f t="shared" ref="O86:O102" si="9">N120*0.75</f>
        <v>4725.0025781249997</v>
      </c>
      <c r="P86" s="26">
        <f t="shared" ref="P86:P102" si="10">O86*$U$70</f>
        <v>4307.0548375782419</v>
      </c>
      <c r="Q86" s="26">
        <f t="shared" ref="Q86:Q102" si="11">P86*$S$64</f>
        <v>3747.0515675963188</v>
      </c>
      <c r="R86" s="26">
        <f>IF(OR($C$5=$CB$16,$C$5=$CC$16),S86*1.05,S86)</f>
        <v>14060.008885367213</v>
      </c>
      <c r="S86" s="26">
        <f>VLOOKUP(INT(W18),ofek4,8+2,FALSE)</f>
        <v>14060.008885367213</v>
      </c>
      <c r="T86" s="26">
        <f t="shared" si="7"/>
        <v>10545.00666402541</v>
      </c>
      <c r="U86" s="26">
        <f t="shared" si="5"/>
        <v>9612.2533720623742</v>
      </c>
      <c r="V86" s="26">
        <f t="shared" si="6"/>
        <v>8362.4681886268245</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
      <c r="A87" t="s">
        <v>59</v>
      </c>
      <c r="B87" s="26"/>
      <c r="C87" s="26"/>
      <c r="D87" s="26"/>
      <c r="E87" s="26"/>
      <c r="F87" s="26"/>
      <c r="G87" s="26"/>
      <c r="H87" s="26"/>
      <c r="I87" s="26"/>
      <c r="J87" s="26"/>
      <c r="K87" s="26"/>
      <c r="L87" s="26"/>
      <c r="M87" s="26">
        <v>3.5</v>
      </c>
      <c r="N87" s="26">
        <f t="shared" si="8"/>
        <v>9974.447100735284</v>
      </c>
      <c r="O87" s="26">
        <f t="shared" si="9"/>
        <v>4902.1901748046876</v>
      </c>
      <c r="P87" s="26">
        <f t="shared" si="10"/>
        <v>4468.5693939874263</v>
      </c>
      <c r="Q87" s="26">
        <f t="shared" si="11"/>
        <v>3887.5660013811812</v>
      </c>
      <c r="R87" s="26">
        <f>R86*1.0375</f>
        <v>14587.259218568484</v>
      </c>
      <c r="S87" s="26">
        <f>S86*1.0425</f>
        <v>14657.559262995319</v>
      </c>
      <c r="T87" s="26">
        <f t="shared" si="7"/>
        <v>10993.16944724649</v>
      </c>
      <c r="U87" s="26">
        <f t="shared" si="5"/>
        <v>10020.774140375026</v>
      </c>
      <c r="V87" s="26">
        <f t="shared" si="6"/>
        <v>8717.8730866434653</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
      <c r="B88" s="26"/>
      <c r="C88" s="26"/>
      <c r="D88" s="26"/>
      <c r="E88" s="26"/>
      <c r="F88" s="26"/>
      <c r="G88" s="26"/>
      <c r="H88" s="26"/>
      <c r="I88" s="26"/>
      <c r="J88" s="26"/>
      <c r="K88" s="26"/>
      <c r="L88" s="26"/>
      <c r="M88" s="26">
        <v>4</v>
      </c>
      <c r="N88" s="26">
        <f t="shared" si="8"/>
        <v>10334.969285099209</v>
      </c>
      <c r="O88" s="26">
        <f t="shared" si="9"/>
        <v>5079.3777714843745</v>
      </c>
      <c r="P88" s="26">
        <f t="shared" si="10"/>
        <v>4630.0839503966099</v>
      </c>
      <c r="Q88" s="26">
        <f t="shared" si="11"/>
        <v>4028.0804351660427</v>
      </c>
      <c r="R88" s="26">
        <f>IF(OR($C$5=$CB$16,$C$5=$CC$16),S88*1.05,S88)</f>
        <v>15255.109640623426</v>
      </c>
      <c r="S88" s="26">
        <f>VLOOKUP(INT(W18),ofek4,9+2,FALSE)</f>
        <v>15255.109640623426</v>
      </c>
      <c r="T88" s="26">
        <f t="shared" si="7"/>
        <v>11441.332230467569</v>
      </c>
      <c r="U88" s="26">
        <f t="shared" si="5"/>
        <v>10429.294908687676</v>
      </c>
      <c r="V88" s="26">
        <f t="shared" si="6"/>
        <v>9073.2779846601043</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
      <c r="B89" s="26"/>
      <c r="C89" s="26"/>
      <c r="D89" s="26"/>
      <c r="E89" s="26"/>
      <c r="F89" s="26"/>
      <c r="G89" s="26"/>
      <c r="H89" s="26"/>
      <c r="I89" s="26"/>
      <c r="J89" s="26"/>
      <c r="K89" s="26"/>
      <c r="L89" s="26"/>
      <c r="M89" s="26">
        <v>4.5</v>
      </c>
      <c r="N89" s="26">
        <f t="shared" si="8"/>
        <v>10722.530633290429</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
      <c r="B90" s="26"/>
      <c r="C90" s="26"/>
      <c r="D90" s="26"/>
      <c r="E90" s="26"/>
      <c r="F90" s="26"/>
      <c r="G90" s="26"/>
      <c r="H90" s="26"/>
      <c r="I90" s="26"/>
      <c r="J90" s="26"/>
      <c r="K90" s="26"/>
      <c r="L90" s="26"/>
      <c r="M90" s="26">
        <v>5</v>
      </c>
      <c r="N90" s="26">
        <f t="shared" si="8"/>
        <v>11110.09198148165</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
      <c r="B91" s="26"/>
      <c r="C91" s="26"/>
      <c r="D91" s="26"/>
      <c r="E91" s="26"/>
      <c r="F91" s="26"/>
      <c r="G91" s="26"/>
      <c r="H91" s="26"/>
      <c r="I91" s="26"/>
      <c r="J91" s="26"/>
      <c r="K91" s="26"/>
      <c r="L91" s="26"/>
      <c r="M91" s="26">
        <v>5.5</v>
      </c>
      <c r="N91" s="26">
        <f t="shared" si="8"/>
        <v>11526.720430787213</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
      <c r="B92" s="26"/>
      <c r="C92" s="26"/>
      <c r="D92" s="26"/>
      <c r="E92" s="26"/>
      <c r="F92" s="26"/>
      <c r="G92" s="26"/>
      <c r="H92" s="26"/>
      <c r="I92" s="26"/>
      <c r="J92" s="26"/>
      <c r="K92" s="26"/>
      <c r="L92" s="26"/>
      <c r="M92" s="26">
        <v>6</v>
      </c>
      <c r="N92" s="26">
        <f t="shared" si="8"/>
        <v>11943.348880092773</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
      <c r="B93" s="26"/>
      <c r="C93" s="26"/>
      <c r="D93" s="26"/>
      <c r="E93" s="26"/>
      <c r="F93" s="26"/>
      <c r="G93" s="26"/>
      <c r="H93" s="26"/>
      <c r="I93" s="26"/>
      <c r="J93" s="26"/>
      <c r="K93" s="26"/>
      <c r="L93" s="26"/>
      <c r="M93" s="26">
        <v>6.5</v>
      </c>
      <c r="N93" s="26">
        <f t="shared" si="8"/>
        <v>12450.941207496717</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
      <c r="B94" s="26"/>
      <c r="C94" s="26"/>
      <c r="D94" s="26"/>
      <c r="E94" s="26"/>
      <c r="F94" s="26"/>
      <c r="G94" s="26"/>
      <c r="H94" s="26"/>
      <c r="I94" s="26"/>
      <c r="J94" s="26"/>
      <c r="K94" s="26"/>
      <c r="L94" s="26"/>
      <c r="M94" s="26">
        <v>7</v>
      </c>
      <c r="N94" s="26">
        <f t="shared" si="8"/>
        <v>12958.533534900658</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
      <c r="B95" s="26"/>
      <c r="C95" s="26"/>
      <c r="D95" s="26"/>
      <c r="E95" s="26"/>
      <c r="F95" s="26"/>
      <c r="G95" s="26"/>
      <c r="H95" s="26"/>
      <c r="I95" s="26"/>
      <c r="J95" s="26"/>
      <c r="K95" s="26"/>
      <c r="L95" s="26"/>
      <c r="M95" s="26">
        <v>7.5</v>
      </c>
      <c r="N95" s="26">
        <f t="shared" si="8"/>
        <v>13509.271210133937</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
      <c r="B96" s="26"/>
      <c r="C96" s="26"/>
      <c r="D96" s="26"/>
      <c r="E96" s="26"/>
      <c r="F96" s="26"/>
      <c r="G96" s="26"/>
      <c r="H96" s="26"/>
      <c r="I96" s="26"/>
      <c r="J96" s="26"/>
      <c r="K96" s="26"/>
      <c r="L96" s="26"/>
      <c r="M96" s="26">
        <v>8</v>
      </c>
      <c r="N96" s="26">
        <f t="shared" si="8"/>
        <v>14060.008885367213</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
      <c r="B97" s="26"/>
      <c r="C97" s="26"/>
      <c r="D97" s="26"/>
      <c r="E97" s="26"/>
      <c r="F97" s="26"/>
      <c r="G97" s="26"/>
      <c r="H97" s="26"/>
      <c r="I97" s="26"/>
      <c r="J97" s="26"/>
      <c r="K97" s="26"/>
      <c r="L97" s="26"/>
      <c r="M97" s="26">
        <v>8.5</v>
      </c>
      <c r="N97" s="26">
        <f t="shared" si="8"/>
        <v>14657.559262995319</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
      <c r="B98" s="26"/>
      <c r="C98" s="26"/>
      <c r="D98" s="26"/>
      <c r="E98" s="26"/>
      <c r="F98" s="26"/>
      <c r="G98" s="26"/>
      <c r="H98" s="26"/>
      <c r="I98" s="26"/>
      <c r="J98" s="26"/>
      <c r="K98" s="26"/>
      <c r="L98" s="26"/>
      <c r="M98" s="26">
        <v>9</v>
      </c>
      <c r="N98" s="26">
        <f t="shared" si="8"/>
        <v>15255.109640623426</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
      <c r="B144" s="26" t="s">
        <v>487</v>
      </c>
      <c r="C144" s="26">
        <v>0.27</v>
      </c>
      <c r="D144" s="26">
        <v>0.37</v>
      </c>
      <c r="E144" s="26">
        <f>C144+12.5%</f>
        <v>0.39500000000000002</v>
      </c>
      <c r="F144" s="26">
        <f>IF(C14&gt;0,30*C9-3,30*C9)</f>
        <v>37.749899999999997</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
      <c r="B169" s="26" t="s">
        <v>71</v>
      </c>
      <c r="C169" s="26" t="s">
        <v>509</v>
      </c>
      <c r="D169" s="26"/>
      <c r="E169" s="26"/>
      <c r="F169" s="26"/>
      <c r="G169" s="26">
        <v>8.5</v>
      </c>
      <c r="H169" s="26"/>
      <c r="I169" s="26"/>
      <c r="J169" s="26"/>
      <c r="K169" s="26">
        <v>7</v>
      </c>
      <c r="L169" s="26"/>
      <c r="M169" s="26" t="str">
        <f t="shared" si="14"/>
        <v xml:space="preserve">23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
      <c r="B170" s="26"/>
      <c r="C170" s="26" t="s">
        <v>510</v>
      </c>
      <c r="D170" s="26"/>
      <c r="E170" s="26"/>
      <c r="F170" s="26"/>
      <c r="G170" s="26">
        <v>9</v>
      </c>
      <c r="H170" s="26" t="s">
        <v>59</v>
      </c>
      <c r="I170" s="26"/>
      <c r="J170" s="26"/>
      <c r="K170" s="26">
        <v>7.5</v>
      </c>
      <c r="L170" s="26"/>
      <c r="M170" s="26">
        <f t="shared" si="14"/>
        <v>8319.242761597714</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
      <c r="B171" s="26"/>
      <c r="C171" s="26" t="s">
        <v>511</v>
      </c>
      <c r="D171" s="26"/>
      <c r="E171" s="26"/>
      <c r="F171" s="26"/>
      <c r="G171" s="26"/>
      <c r="H171" s="26"/>
      <c r="I171" s="26"/>
      <c r="J171" s="26"/>
      <c r="K171" s="26">
        <v>8</v>
      </c>
      <c r="L171" s="26"/>
      <c r="M171" s="26">
        <f t="shared" si="14"/>
        <v>8631.2143651576298</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
      <c r="B172" s="26" t="s">
        <v>512</v>
      </c>
      <c r="C172" s="26">
        <v>0</v>
      </c>
      <c r="D172" s="26"/>
      <c r="E172" s="26"/>
      <c r="F172" s="26"/>
      <c r="G172" s="26"/>
      <c r="H172" s="26"/>
      <c r="I172" s="26"/>
      <c r="J172" s="26"/>
      <c r="K172" s="26">
        <v>8.5</v>
      </c>
      <c r="L172" s="26"/>
      <c r="M172" s="26">
        <f t="shared" si="14"/>
        <v>8943.185968717542</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
      <c r="B173" s="26" t="s">
        <v>59</v>
      </c>
      <c r="C173" s="26"/>
      <c r="D173" s="26"/>
      <c r="E173" s="26"/>
      <c r="F173" s="26" t="s">
        <v>198</v>
      </c>
      <c r="G173" s="26"/>
      <c r="H173" s="26" t="s">
        <v>513</v>
      </c>
      <c r="I173" s="26">
        <f>DATE(YEAR(J4),MONTH(J4)-MONTH(J4)+1,DAY(J4)-DAY(J4)+1)</f>
        <v>1</v>
      </c>
      <c r="J173" s="26"/>
      <c r="K173" s="26">
        <v>9</v>
      </c>
      <c r="L173" s="26"/>
      <c r="M173" s="26">
        <f t="shared" si="14"/>
        <v>9278.5554425444498</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
      <c r="B174" s="26"/>
      <c r="C174" s="26"/>
      <c r="D174" s="26"/>
      <c r="E174" s="26"/>
      <c r="F174" s="26"/>
      <c r="G174" s="26"/>
      <c r="H174" s="26"/>
      <c r="I174" s="26"/>
      <c r="J174" s="26"/>
      <c r="K174" s="26"/>
      <c r="L174" s="26"/>
      <c r="M174" s="26">
        <f t="shared" si="14"/>
        <v>9613.9249163713575</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f t="shared" si="14"/>
        <v>9974.447100735284</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
      <c r="B176" s="26"/>
      <c r="C176" s="26" t="s">
        <v>515</v>
      </c>
      <c r="D176" s="26"/>
      <c r="E176" s="26"/>
      <c r="F176" s="26"/>
      <c r="G176" s="26"/>
      <c r="H176" s="26"/>
      <c r="I176" s="26"/>
      <c r="J176" s="26"/>
      <c r="K176" s="26"/>
      <c r="L176" s="26"/>
      <c r="M176" s="26">
        <f t="shared" si="14"/>
        <v>10334.969285099209</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
      <c r="B177" s="26"/>
      <c r="C177" s="26" t="s">
        <v>516</v>
      </c>
      <c r="D177" s="26" t="s">
        <v>59</v>
      </c>
      <c r="E177" s="26"/>
      <c r="F177" s="26"/>
      <c r="G177" s="26" t="str">
        <f>AB32</f>
        <v>תקציבית</v>
      </c>
      <c r="H177" s="26"/>
      <c r="I177" s="26" t="e">
        <f>F205</f>
        <v>#REF!</v>
      </c>
      <c r="J177" s="26"/>
      <c r="K177" s="26"/>
      <c r="L177" s="26"/>
      <c r="M177" s="26">
        <f t="shared" si="14"/>
        <v>10722.530633290429</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
      <c r="B178" s="26"/>
      <c r="C178" s="26" t="s">
        <v>517</v>
      </c>
      <c r="D178" s="26" t="s">
        <v>518</v>
      </c>
      <c r="E178" s="26"/>
      <c r="F178" s="26" t="s">
        <v>519</v>
      </c>
      <c r="G178" s="26">
        <f>67</f>
        <v>67</v>
      </c>
      <c r="H178" s="26"/>
      <c r="I178" s="26"/>
      <c r="J178" s="26"/>
      <c r="K178" s="26"/>
      <c r="L178" s="26"/>
      <c r="M178" s="26">
        <f t="shared" si="14"/>
        <v>11110.09198148165</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
      <c r="B179" s="26"/>
      <c r="C179" s="26" t="s">
        <v>477</v>
      </c>
      <c r="D179" s="26" t="s">
        <v>520</v>
      </c>
      <c r="E179" s="26"/>
      <c r="F179" s="26" t="s">
        <v>521</v>
      </c>
      <c r="G179" s="26" t="e">
        <f>#REF!</f>
        <v>#REF!</v>
      </c>
      <c r="H179" s="26"/>
      <c r="I179" s="26" t="s">
        <v>59</v>
      </c>
      <c r="J179" s="26"/>
      <c r="K179" s="26"/>
      <c r="L179" s="26"/>
      <c r="M179" s="26">
        <f t="shared" si="14"/>
        <v>11526.720430787213</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
      <c r="B180" s="26"/>
      <c r="C180" s="26" t="s">
        <v>522</v>
      </c>
      <c r="D180" s="26" t="s">
        <v>476</v>
      </c>
      <c r="E180" s="26"/>
      <c r="F180" s="26" t="s">
        <v>523</v>
      </c>
      <c r="G180" s="26">
        <f>G202</f>
        <v>52.87</v>
      </c>
      <c r="H180" s="26"/>
      <c r="I180" s="26" t="s">
        <v>59</v>
      </c>
      <c r="J180" s="26"/>
      <c r="K180" s="26"/>
      <c r="L180" s="26"/>
      <c r="M180" s="26">
        <f t="shared" si="14"/>
        <v>11943.348880092773</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
      <c r="B181" s="26"/>
      <c r="C181" s="26" t="s">
        <v>524</v>
      </c>
      <c r="D181" s="26" t="s">
        <v>525</v>
      </c>
      <c r="E181" s="26"/>
      <c r="F181" s="26"/>
      <c r="G181" s="26" t="s">
        <v>526</v>
      </c>
      <c r="H181" s="26"/>
      <c r="I181" s="26"/>
      <c r="J181" s="26"/>
      <c r="K181" s="26"/>
      <c r="L181" s="26"/>
      <c r="M181" s="26">
        <f t="shared" si="14"/>
        <v>12450.941207496717</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f t="shared" si="14"/>
        <v>12958.533534900658</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
      <c r="B183" s="26"/>
      <c r="C183" s="26" t="s">
        <v>529</v>
      </c>
      <c r="D183" s="26" t="s">
        <v>479</v>
      </c>
      <c r="E183" s="26"/>
      <c r="F183" s="26" t="e">
        <f>#REF!/#REF!*F187</f>
        <v>#REF!</v>
      </c>
      <c r="G183" s="26" t="s">
        <v>530</v>
      </c>
      <c r="H183" s="26"/>
      <c r="I183" s="26"/>
      <c r="J183" s="26" t="s">
        <v>59</v>
      </c>
      <c r="K183" s="26"/>
      <c r="L183" s="26"/>
      <c r="M183" s="26">
        <f t="shared" si="14"/>
        <v>13509.271210133937</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
      <c r="B184" s="26"/>
      <c r="C184" s="26" t="s">
        <v>531</v>
      </c>
      <c r="D184" s="26"/>
      <c r="E184" s="26"/>
      <c r="F184" s="26" t="e">
        <f>#REF!/#REF!*F187</f>
        <v>#REF!</v>
      </c>
      <c r="G184" s="26" t="s">
        <v>532</v>
      </c>
      <c r="H184" s="26"/>
      <c r="I184" s="26"/>
      <c r="J184" s="26"/>
      <c r="K184" s="26"/>
      <c r="L184" s="26"/>
      <c r="M184" s="26">
        <f t="shared" si="14"/>
        <v>14060.008885367213</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
      <c r="B185" s="26"/>
      <c r="C185" s="26"/>
      <c r="D185" s="26" t="s">
        <v>533</v>
      </c>
      <c r="E185" s="26"/>
      <c r="F185" s="26" t="e">
        <f>#REF!/#REF!*F187</f>
        <v>#REF!</v>
      </c>
      <c r="G185" s="26" t="s">
        <v>534</v>
      </c>
      <c r="H185" s="26"/>
      <c r="I185" s="26"/>
      <c r="J185" s="26"/>
      <c r="K185" s="26"/>
      <c r="L185" s="26"/>
      <c r="M185" s="26">
        <f t="shared" si="14"/>
        <v>14657.559262995319</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
      <c r="B186" s="26" t="s">
        <v>535</v>
      </c>
      <c r="C186" s="26" t="str">
        <f>C5</f>
        <v>ב"א</v>
      </c>
      <c r="D186" s="26"/>
      <c r="E186" s="26"/>
      <c r="F186" s="26" t="e">
        <f>#REF!/#REF!*F187</f>
        <v>#REF!</v>
      </c>
      <c r="G186" s="26" t="s">
        <v>536</v>
      </c>
      <c r="H186" s="26"/>
      <c r="I186" s="26"/>
      <c r="J186" s="26"/>
      <c r="K186" s="26"/>
      <c r="L186" s="26"/>
      <c r="M186" s="26">
        <f t="shared" si="14"/>
        <v>15255.109640623426</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
      <c r="B207" s="26"/>
      <c r="C207" s="26" t="s">
        <v>559</v>
      </c>
      <c r="D207" s="26"/>
      <c r="E207" s="26"/>
      <c r="F207" s="26">
        <v>0</v>
      </c>
      <c r="G207" s="26"/>
      <c r="H207" s="26"/>
      <c r="I207" s="26">
        <f t="shared" ref="I207:I223" si="16">L207</f>
        <v>1</v>
      </c>
      <c r="J207" s="26">
        <f>M170*0.95</f>
        <v>7903.2806235178277</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
      <c r="B208" s="26" t="s">
        <v>59</v>
      </c>
      <c r="C208" s="26" t="s">
        <v>560</v>
      </c>
      <c r="D208" s="26"/>
      <c r="E208" s="26"/>
      <c r="F208" s="26">
        <v>0</v>
      </c>
      <c r="G208" s="26"/>
      <c r="H208" s="26"/>
      <c r="I208" s="26">
        <f t="shared" si="16"/>
        <v>1.5</v>
      </c>
      <c r="J208" s="26">
        <f t="shared" ref="J208:J223" si="17">M171*0.95</f>
        <v>8199.6536468997474</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
      <c r="B209" s="26"/>
      <c r="C209" s="26"/>
      <c r="D209" s="26"/>
      <c r="E209" s="26"/>
      <c r="F209" s="26">
        <v>0</v>
      </c>
      <c r="G209" s="26"/>
      <c r="H209" s="26"/>
      <c r="I209" s="26">
        <f t="shared" si="16"/>
        <v>2</v>
      </c>
      <c r="J209" s="26">
        <f t="shared" si="17"/>
        <v>8496.0266702816643</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
      <c r="B210" s="26"/>
      <c r="C210" s="26"/>
      <c r="D210" s="26"/>
      <c r="E210" s="26"/>
      <c r="F210" s="26">
        <f>BG73</f>
        <v>0</v>
      </c>
      <c r="G210" s="26"/>
      <c r="H210" s="26"/>
      <c r="I210" s="26">
        <f t="shared" si="16"/>
        <v>2.5</v>
      </c>
      <c r="J210" s="26">
        <f t="shared" si="17"/>
        <v>8814.6276704172269</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
      <c r="B211" s="26"/>
      <c r="C211" s="26"/>
      <c r="D211" s="26"/>
      <c r="E211" s="26"/>
      <c r="F211" s="26">
        <f>IF(BG65=X6,0,IF(BG65=X7,10%*P96,IF(BG65=X8,20%*P96,IF(BG65=X9,11.5%*P96,6%*P96))))</f>
        <v>0</v>
      </c>
      <c r="G211" s="26" t="s">
        <v>59</v>
      </c>
      <c r="H211" s="26"/>
      <c r="I211" s="26">
        <f t="shared" si="16"/>
        <v>3</v>
      </c>
      <c r="J211" s="26">
        <f t="shared" si="17"/>
        <v>9133.2286705527895</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
      <c r="B212" s="26"/>
      <c r="C212" s="26"/>
      <c r="D212" s="26"/>
      <c r="E212" s="26"/>
      <c r="F212" s="26">
        <f>BG66</f>
        <v>0</v>
      </c>
      <c r="G212" s="26"/>
      <c r="H212" s="26"/>
      <c r="I212" s="26">
        <f t="shared" si="16"/>
        <v>3.5</v>
      </c>
      <c r="J212" s="26">
        <f t="shared" si="17"/>
        <v>9475.7247456985187</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
      <c r="B213" s="26"/>
      <c r="C213" s="26"/>
      <c r="D213" s="26"/>
      <c r="E213" s="26"/>
      <c r="F213" s="26">
        <f>AD11*P96</f>
        <v>0</v>
      </c>
      <c r="G213" s="26"/>
      <c r="H213" s="26"/>
      <c r="I213" s="26">
        <f t="shared" si="16"/>
        <v>4</v>
      </c>
      <c r="J213" s="26">
        <f t="shared" si="17"/>
        <v>9818.220820844248</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
      <c r="B214" s="26" t="s">
        <v>545</v>
      </c>
      <c r="C214" s="26"/>
      <c r="D214" s="26"/>
      <c r="E214" s="26"/>
      <c r="F214" s="26" t="e">
        <f>SUM(F205:F208)*BG68</f>
        <v>#REF!</v>
      </c>
      <c r="G214" s="26"/>
      <c r="H214" s="26"/>
      <c r="I214" s="26">
        <f t="shared" si="16"/>
        <v>4.5</v>
      </c>
      <c r="J214" s="26">
        <f t="shared" si="17"/>
        <v>10186.404101625907</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
      <c r="B215" s="26"/>
      <c r="C215" s="26"/>
      <c r="D215" s="26"/>
      <c r="E215" s="26"/>
      <c r="F215" s="26" t="e">
        <f>J187*F214</f>
        <v>#REF!</v>
      </c>
      <c r="G215" s="26" t="s">
        <v>59</v>
      </c>
      <c r="H215" s="26"/>
      <c r="I215" s="26">
        <f t="shared" si="16"/>
        <v>5</v>
      </c>
      <c r="J215" s="26">
        <f t="shared" si="17"/>
        <v>10554.587382407566</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
      <c r="B216" s="26"/>
      <c r="C216" s="26"/>
      <c r="D216" s="26"/>
      <c r="E216" s="26"/>
      <c r="F216" s="26" t="e">
        <f>J188*F205</f>
        <v>#REF!</v>
      </c>
      <c r="G216" s="26"/>
      <c r="H216" s="26"/>
      <c r="I216" s="26">
        <f t="shared" si="16"/>
        <v>5.5</v>
      </c>
      <c r="J216" s="26">
        <f t="shared" si="17"/>
        <v>10950.384409247852</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
      <c r="B217" s="26"/>
      <c r="C217" s="26"/>
      <c r="D217" s="26"/>
      <c r="E217" s="26"/>
      <c r="F217" s="26" t="e">
        <f>SUM(F205:F208)*AB29</f>
        <v>#REF!</v>
      </c>
      <c r="G217" s="26"/>
      <c r="H217" s="26"/>
      <c r="I217" s="26">
        <f t="shared" si="16"/>
        <v>6</v>
      </c>
      <c r="J217" s="26">
        <f t="shared" si="17"/>
        <v>11346.181436088134</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
      <c r="B218" s="26"/>
      <c r="C218" s="26"/>
      <c r="D218" s="26"/>
      <c r="E218" s="26"/>
      <c r="F218" s="26" t="e">
        <f>F205*BG72</f>
        <v>#REF!</v>
      </c>
      <c r="G218" s="26"/>
      <c r="H218" s="26"/>
      <c r="I218" s="26">
        <f t="shared" si="16"/>
        <v>6.5</v>
      </c>
      <c r="J218" s="26">
        <f t="shared" si="17"/>
        <v>11828.39414712188</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
      <c r="B219" s="26"/>
      <c r="C219" s="26"/>
      <c r="D219" s="26"/>
      <c r="E219" s="26"/>
      <c r="F219" s="26" t="e">
        <f>SUM(F205:F208)*BG64</f>
        <v>#REF!</v>
      </c>
      <c r="G219" s="26"/>
      <c r="H219" s="26"/>
      <c r="I219" s="26">
        <f t="shared" si="16"/>
        <v>7</v>
      </c>
      <c r="J219" s="26">
        <f t="shared" si="17"/>
        <v>12310.606858155625</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
      <c r="B220" s="26"/>
      <c r="C220" s="26"/>
      <c r="D220" s="26"/>
      <c r="E220" s="26"/>
      <c r="F220" s="26">
        <v>0</v>
      </c>
      <c r="G220" s="26" t="s">
        <v>561</v>
      </c>
      <c r="H220" s="26"/>
      <c r="I220" s="26">
        <f t="shared" si="16"/>
        <v>7.5</v>
      </c>
      <c r="J220" s="26">
        <f t="shared" si="17"/>
        <v>12833.807649627239</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
      <c r="B221" s="26"/>
      <c r="C221" s="26"/>
      <c r="D221" s="26"/>
      <c r="E221" s="26"/>
      <c r="F221" s="26">
        <v>0</v>
      </c>
      <c r="G221" s="26" t="s">
        <v>562</v>
      </c>
      <c r="H221" s="26"/>
      <c r="I221" s="26">
        <f t="shared" si="16"/>
        <v>8</v>
      </c>
      <c r="J221" s="26">
        <f t="shared" si="17"/>
        <v>13357.008441098851</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
      <c r="B222" s="26"/>
      <c r="C222" s="26" t="str">
        <f>BF73</f>
        <v>תוספת ערבה</v>
      </c>
      <c r="D222" s="26">
        <f>AB39</f>
        <v>0</v>
      </c>
      <c r="E222" s="26"/>
      <c r="F222" s="26" t="e">
        <f>SUM(F205:F221)</f>
        <v>#REF!</v>
      </c>
      <c r="G222" s="26"/>
      <c r="H222" s="26"/>
      <c r="I222" s="26">
        <f t="shared" si="16"/>
        <v>8.5</v>
      </c>
      <c r="J222" s="26">
        <f t="shared" si="17"/>
        <v>13924.681299845552</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
      <c r="B223" s="26"/>
      <c r="C223" s="26"/>
      <c r="D223" s="26"/>
      <c r="E223" s="26"/>
      <c r="F223" s="26"/>
      <c r="G223" s="26"/>
      <c r="H223" s="26"/>
      <c r="I223" s="26">
        <f t="shared" si="16"/>
        <v>9</v>
      </c>
      <c r="J223" s="26">
        <f t="shared" si="17"/>
        <v>14492.354158592254</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
      <c r="G710" s="26"/>
      <c r="H710" s="26"/>
      <c r="I710" s="26"/>
      <c r="J710" s="26"/>
      <c r="K710" s="26"/>
      <c r="L710" s="26"/>
      <c r="M710" s="26"/>
      <c r="N710" s="26"/>
      <c r="O710" s="26">
        <f ca="1">ROUND((I775-AL723)/365.25,2)</f>
        <v>65.84</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
      <c r="G711" s="26"/>
      <c r="H711" s="26"/>
      <c r="I711" s="26"/>
      <c r="J711" s="26"/>
      <c r="K711" s="26"/>
      <c r="L711" s="26"/>
      <c r="M711" s="26"/>
      <c r="N711" s="26"/>
      <c r="O711" s="26">
        <f ca="1">IF(BB769=CB719,59-O710,60-O710)</f>
        <v>-5.8400000000000034</v>
      </c>
      <c r="P711" s="26" t="s">
        <v>96</v>
      </c>
      <c r="Q711" s="26">
        <f ca="1">Q710+O711</f>
        <v>-5.4800000000000031</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
      <c r="G712" s="26"/>
      <c r="H712" s="26"/>
      <c r="I712" s="26"/>
      <c r="J712" s="26"/>
      <c r="K712" s="26"/>
      <c r="L712" s="26"/>
      <c r="M712" s="26"/>
      <c r="N712" s="26"/>
      <c r="O712" s="26">
        <f ca="1">IF(AD738+O711&gt;36,36,AD738+O711)</f>
        <v>27.159999999999997</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20</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
      <c r="G738" s="26"/>
      <c r="H738" s="26"/>
      <c r="I738" s="26"/>
      <c r="J738" s="26"/>
      <c r="K738" s="26"/>
      <c r="L738" s="26"/>
      <c r="M738" s="26" t="s">
        <v>54</v>
      </c>
      <c r="N738" s="26">
        <f ca="1">ROUND((I775-AT720)/365.25,2)</f>
        <v>13.33</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20</v>
      </c>
      <c r="AE739" s="26"/>
      <c r="AF739" s="26"/>
      <c r="AG739" s="26"/>
      <c r="AH739" s="26">
        <v>40209</v>
      </c>
      <c r="AI739" s="26"/>
      <c r="AJ739" s="26"/>
      <c r="AK739" s="26"/>
      <c r="AL739" s="26"/>
      <c r="AM739" s="26"/>
      <c r="AN739" s="26">
        <v>15</v>
      </c>
      <c r="AO739" s="26">
        <v>36</v>
      </c>
      <c r="AP739" s="26"/>
      <c r="AQ739" s="26"/>
      <c r="AR739" s="26" t="s">
        <v>305</v>
      </c>
      <c r="AS739" s="26"/>
      <c r="AT739" s="26">
        <f ca="1">IF(MONTH(I775)=1,1,0)</f>
        <v>1</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45292</v>
      </c>
      <c r="AK741" s="26">
        <f ca="1">ROUND((AJ741-AL732)/365.25,2)</f>
        <v>45.33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-13</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
      <c r="G775" s="26"/>
      <c r="H775" s="26" t="s">
        <v>575</v>
      </c>
      <c r="I775" s="26">
        <f ca="1">TODAY()</f>
        <v>45310</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
      <c r="G887" s="26"/>
      <c r="H887" s="26"/>
      <c r="I887" s="26"/>
      <c r="J887" s="26"/>
      <c r="K887" s="26">
        <f ca="1">(F927-O710)*2.4%</f>
        <v>-0.31128000000000017</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
      <c r="G888" s="26"/>
      <c r="H888" s="26">
        <f ca="1">DATE(YEAR(I775),MONTH(I775)-MONTH(I775)+1,DAY(I775)-DAY(I775)+1)</f>
        <v>45292</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5" thickBot="1" x14ac:dyDescent="0.2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6.5" thickTop="1" thickBot="1" x14ac:dyDescent="0.3">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5.75" thickTop="1" x14ac:dyDescent="0.25">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5" thickBot="1" x14ac:dyDescent="0.3">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5" thickBot="1" x14ac:dyDescent="0.3">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7" thickTop="1" x14ac:dyDescent="0.4">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5" thickBot="1" x14ac:dyDescent="0.2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6.5" thickTop="1" thickBot="1" x14ac:dyDescent="0.3">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5.75" thickTop="1" x14ac:dyDescent="0.25">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ht="15" x14ac:dyDescent="0.25">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5" thickBot="1" x14ac:dyDescent="0.2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75" thickTop="1" thickBot="1" x14ac:dyDescent="0.2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75" thickTop="1" thickBot="1" x14ac:dyDescent="0.2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7.25" thickTop="1" thickBot="1" x14ac:dyDescent="0.3">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7.25" thickTop="1" thickBot="1" x14ac:dyDescent="0.3">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5" thickTop="1" thickBot="1" x14ac:dyDescent="0.3">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6.5" thickTop="1" thickBot="1" x14ac:dyDescent="0.3">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ht="15" x14ac:dyDescent="0.25">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5.75" thickBot="1" x14ac:dyDescent="0.3">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5.75" thickTop="1" x14ac:dyDescent="0.25">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5" thickBot="1" x14ac:dyDescent="0.2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5.75" thickTop="1" x14ac:dyDescent="0.25">
      <c r="B919" s="76"/>
      <c r="C919" s="130" t="s">
        <v>559</v>
      </c>
      <c r="D919" s="107"/>
      <c r="E919" s="131"/>
      <c r="G919" s="26">
        <f ca="1">N738</f>
        <v>13.33</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75" x14ac:dyDescent="0.2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5" thickBot="1" x14ac:dyDescent="0.3">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5" thickTop="1" thickBot="1" x14ac:dyDescent="0.3">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75" thickTop="1" thickBot="1" x14ac:dyDescent="0.2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6.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5" thickTop="1" x14ac:dyDescent="0.2">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5" thickBot="1" x14ac:dyDescent="0.2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75" thickTop="1" thickBot="1" x14ac:dyDescent="0.2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6.5" thickTop="1" thickBot="1" x14ac:dyDescent="0.3">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5" thickTop="1" thickBot="1" x14ac:dyDescent="0.3">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7.25" thickTop="1" thickBot="1" x14ac:dyDescent="0.3">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5" thickTop="1" x14ac:dyDescent="0.2">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5" thickBot="1" x14ac:dyDescent="0.2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6.5" thickTop="1" thickBot="1" x14ac:dyDescent="0.3">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5" thickTop="1" x14ac:dyDescent="0.2">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5" thickBot="1" x14ac:dyDescent="0.2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6.5" thickTop="1" thickBot="1" x14ac:dyDescent="0.3">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75" thickTop="1" thickBot="1" x14ac:dyDescent="0.2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5" thickTop="1" x14ac:dyDescent="0.2">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5" thickBot="1" x14ac:dyDescent="0.2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75" thickTop="1" thickBot="1" x14ac:dyDescent="0.2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6.5" thickTop="1" thickBot="1" x14ac:dyDescent="0.3">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5" thickTop="1" x14ac:dyDescent="0.2">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75" thickBot="1" x14ac:dyDescent="0.3">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6.5" thickTop="1" thickBot="1" x14ac:dyDescent="0.3">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5" thickTop="1" x14ac:dyDescent="0.2">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75" x14ac:dyDescent="0.2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B2">
    <cfRule type="expression" dxfId="182" priority="70" stopIfTrue="1">
      <formula>$AB$17=AE44</formula>
    </cfRule>
  </conditionalFormatting>
  <conditionalFormatting sqref="B905 E905">
    <cfRule type="expression" dxfId="181" priority="74" stopIfTrue="1">
      <formula>$AF$707=Z754</formula>
    </cfRule>
  </conditionalFormatting>
  <conditionalFormatting sqref="B35:C35">
    <cfRule type="expression" dxfId="180" priority="12" stopIfTrue="1">
      <formula>$C$19=$F$18</formula>
    </cfRule>
  </conditionalFormatting>
  <conditionalFormatting sqref="B906:E906 B910:E910">
    <cfRule type="expression" dxfId="179" priority="125" stopIfTrue="1">
      <formula>$W$742=$S$735</formula>
    </cfRule>
  </conditionalFormatting>
  <conditionalFormatting sqref="B912:E913">
    <cfRule type="expression" dxfId="178" priority="124" stopIfTrue="1">
      <formula>$E$913=0</formula>
    </cfRule>
  </conditionalFormatting>
  <conditionalFormatting sqref="B27:F33">
    <cfRule type="expression" dxfId="177" priority="35" stopIfTrue="1">
      <formula>$C$19=$F$18</formula>
    </cfRule>
  </conditionalFormatting>
  <conditionalFormatting sqref="B917:F918">
    <cfRule type="expression" dxfId="176" priority="87" stopIfTrue="1">
      <formula>#REF!=0</formula>
    </cfRule>
    <cfRule type="expression" dxfId="175" priority="86" stopIfTrue="1">
      <formula>#REF!=0</formula>
    </cfRule>
  </conditionalFormatting>
  <conditionalFormatting sqref="C905">
    <cfRule type="expression" dxfId="174" priority="76" stopIfTrue="1">
      <formula>$AF$707=AC754</formula>
    </cfRule>
  </conditionalFormatting>
  <conditionalFormatting sqref="C24:E24 C28:E28">
    <cfRule type="expression" dxfId="173" priority="7" stopIfTrue="1">
      <formula>$C$10="ז-ח"</formula>
    </cfRule>
    <cfRule type="expression" dxfId="172" priority="6" stopIfTrue="1">
      <formula>$C$10="חטיבת ביניים"</formula>
    </cfRule>
    <cfRule type="expression" dxfId="171" priority="8" stopIfTrue="1">
      <formula>$C$10="א-ו"</formula>
    </cfRule>
  </conditionalFormatting>
  <conditionalFormatting sqref="C919:E920">
    <cfRule type="expression" dxfId="170" priority="88" stopIfTrue="1">
      <formula>$E$913=0</formula>
    </cfRule>
  </conditionalFormatting>
  <conditionalFormatting sqref="C24:F24 C23:E23 B25:F26">
    <cfRule type="expression" dxfId="169" priority="36" stopIfTrue="1">
      <formula>$C$19=$F$19</formula>
    </cfRule>
  </conditionalFormatting>
  <conditionalFormatting sqref="C915:F916">
    <cfRule type="expression" dxfId="168" priority="122" stopIfTrue="1">
      <formula>$F$915=0</formula>
    </cfRule>
  </conditionalFormatting>
  <conditionalFormatting sqref="D905">
    <cfRule type="expression" dxfId="167" priority="75" stopIfTrue="1">
      <formula>$AF$707=AC754</formula>
    </cfRule>
  </conditionalFormatting>
  <conditionalFormatting sqref="E930:E945">
    <cfRule type="cellIs" dxfId="166" priority="129" stopIfTrue="1" operator="equal">
      <formula>0</formula>
    </cfRule>
  </conditionalFormatting>
  <conditionalFormatting sqref="E968:E969">
    <cfRule type="expression" dxfId="165" priority="127" stopIfTrue="1">
      <formula>$E$969&lt;0</formula>
    </cfRule>
  </conditionalFormatting>
  <conditionalFormatting sqref="E972:E974 D974">
    <cfRule type="expression" dxfId="164" priority="126" stopIfTrue="1">
      <formula>$E$974&lt;=0</formula>
    </cfRule>
  </conditionalFormatting>
  <conditionalFormatting sqref="E903:F903 F958:F959">
    <cfRule type="expression" dxfId="163" priority="85" stopIfTrue="1">
      <formula>$F$905&gt;67</formula>
    </cfRule>
  </conditionalFormatting>
  <conditionalFormatting sqref="E904:F904">
    <cfRule type="expression" dxfId="162" priority="95" stopIfTrue="1">
      <formula>$F$904&lt;64</formula>
    </cfRule>
  </conditionalFormatting>
  <conditionalFormatting sqref="F24">
    <cfRule type="expression" dxfId="161" priority="40" stopIfTrue="1">
      <formula>$C$39=0</formula>
    </cfRule>
  </conditionalFormatting>
  <conditionalFormatting sqref="F28">
    <cfRule type="expression" dxfId="160" priority="39" stopIfTrue="1">
      <formula>$C$39=0</formula>
    </cfRule>
  </conditionalFormatting>
  <conditionalFormatting sqref="F33">
    <cfRule type="expression" dxfId="159" priority="37" stopIfTrue="1">
      <formula>$C$39=0</formula>
    </cfRule>
  </conditionalFormatting>
  <conditionalFormatting sqref="F905">
    <cfRule type="expression" dxfId="158" priority="72" stopIfTrue="1">
      <formula>$AF$707=AC754</formula>
    </cfRule>
  </conditionalFormatting>
  <conditionalFormatting sqref="F907">
    <cfRule type="expression" dxfId="157" priority="101" stopIfTrue="1">
      <formula>$BB$786=0</formula>
    </cfRule>
  </conditionalFormatting>
  <conditionalFormatting sqref="G901 E902:F902">
    <cfRule type="expression" dxfId="156" priority="92" stopIfTrue="1">
      <formula>$W$742=$S$735</formula>
    </cfRule>
  </conditionalFormatting>
  <conditionalFormatting sqref="G904">
    <cfRule type="expression" dxfId="155" priority="73" stopIfTrue="1">
      <formula>$AF$707=AC754</formula>
    </cfRule>
  </conditionalFormatting>
  <conditionalFormatting sqref="G906">
    <cfRule type="expression" dxfId="154" priority="100" stopIfTrue="1">
      <formula>$G$906=0</formula>
    </cfRule>
  </conditionalFormatting>
  <conditionalFormatting sqref="G909 F910">
    <cfRule type="expression" dxfId="153" priority="91" stopIfTrue="1">
      <formula>$W$742=$S$735</formula>
    </cfRule>
  </conditionalFormatting>
  <conditionalFormatting sqref="G911 F912">
    <cfRule type="expression" dxfId="152" priority="93" stopIfTrue="1">
      <formula>$W$742=$S$735</formula>
    </cfRule>
  </conditionalFormatting>
  <conditionalFormatting sqref="G25:H25">
    <cfRule type="expression" dxfId="151" priority="5" stopIfTrue="1">
      <formula>$C$39=0</formula>
    </cfRule>
  </conditionalFormatting>
  <conditionalFormatting sqref="H21:H22 H23:I23 H24 H26:H30 I26:I32 I34">
    <cfRule type="expression" dxfId="150" priority="64" stopIfTrue="1">
      <formula>$C$39=0</formula>
    </cfRule>
  </conditionalFormatting>
  <conditionalFormatting sqref="H778">
    <cfRule type="expression" dxfId="149" priority="67" stopIfTrue="1">
      <formula>$C$59=1</formula>
    </cfRule>
    <cfRule type="expression" dxfId="148" priority="68" stopIfTrue="1">
      <formula>$C$59=0</formula>
    </cfRule>
  </conditionalFormatting>
  <conditionalFormatting sqref="H779:H791 Z810:Z827 I29:I31 N754 H797 X810:Y820 X821:X823 X824:Y825 X826:X827">
    <cfRule type="expression" dxfId="147" priority="83" stopIfTrue="1">
      <formula>$C$59=0</formula>
    </cfRule>
  </conditionalFormatting>
  <conditionalFormatting sqref="H779:H796 Z810:Z827">
    <cfRule type="expression" dxfId="146" priority="69" stopIfTrue="1">
      <formula>$C$54=1</formula>
    </cfRule>
  </conditionalFormatting>
  <conditionalFormatting sqref="H792:H796">
    <cfRule type="expression" dxfId="145" priority="66" stopIfTrue="1">
      <formula>$C$58=0</formula>
    </cfRule>
  </conditionalFormatting>
  <conditionalFormatting sqref="H867">
    <cfRule type="expression" dxfId="144" priority="71" stopIfTrue="1">
      <formula>$AF$707=AC754</formula>
    </cfRule>
  </conditionalFormatting>
  <conditionalFormatting sqref="H868:H870 G905 F906">
    <cfRule type="expression" dxfId="143" priority="102" stopIfTrue="1">
      <formula>$V$745&gt;0</formula>
    </cfRule>
  </conditionalFormatting>
  <conditionalFormatting sqref="H871">
    <cfRule type="expression" dxfId="142" priority="51" stopIfTrue="1">
      <formula>ROUND($H$871,2)=ROUND($G$908,2)</formula>
    </cfRule>
  </conditionalFormatting>
  <conditionalFormatting sqref="H873 G910 F911">
    <cfRule type="expression" dxfId="141" priority="65" stopIfTrue="1">
      <formula>$E$110&lt;&gt;0</formula>
    </cfRule>
  </conditionalFormatting>
  <conditionalFormatting sqref="H876 G913 F914">
    <cfRule type="expression" dxfId="140" priority="94" stopIfTrue="1">
      <formula>$W$742=$S$735</formula>
    </cfRule>
  </conditionalFormatting>
  <conditionalFormatting sqref="H879 G916 H924:H925">
    <cfRule type="expression" dxfId="139" priority="120" stopIfTrue="1">
      <formula>$Z$717&lt;100%</formula>
    </cfRule>
  </conditionalFormatting>
  <conditionalFormatting sqref="J21:J28 J30">
    <cfRule type="expression" dxfId="138" priority="2" stopIfTrue="1">
      <formula>$C$9=1</formula>
    </cfRule>
  </conditionalFormatting>
  <conditionalFormatting sqref="J21:J32">
    <cfRule type="expression" dxfId="137" priority="3" stopIfTrue="1">
      <formula>$C$39=0</formula>
    </cfRule>
  </conditionalFormatting>
  <conditionalFormatting sqref="J29">
    <cfRule type="expression" dxfId="136" priority="1" stopIfTrue="1">
      <formula>$C$59=0</formula>
    </cfRule>
  </conditionalFormatting>
  <conditionalFormatting sqref="J877 J879 J881 H887:I887 H888 I889 I891 G925 F926">
    <cfRule type="expression" dxfId="135" priority="118" stopIfTrue="1">
      <formula>$R$718=1</formula>
    </cfRule>
  </conditionalFormatting>
  <conditionalFormatting sqref="K118:K125 J126:K135">
    <cfRule type="expression" dxfId="134" priority="48" stopIfTrue="1">
      <formula>$C$39=0</formula>
    </cfRule>
    <cfRule type="expression" dxfId="133" priority="46" stopIfTrue="1">
      <formula>$CC$12&lt;&gt;$C$5</formula>
    </cfRule>
    <cfRule type="expression" dxfId="132" priority="47" stopIfTrue="1">
      <formula>$Q$2=$M81</formula>
    </cfRule>
  </conditionalFormatting>
  <conditionalFormatting sqref="K781">
    <cfRule type="expression" dxfId="131" priority="116" stopIfTrue="1">
      <formula>$L$781=0</formula>
    </cfRule>
  </conditionalFormatting>
  <conditionalFormatting sqref="K785">
    <cfRule type="expression" dxfId="130" priority="105" stopIfTrue="1">
      <formula>$S$705=0</formula>
    </cfRule>
  </conditionalFormatting>
  <conditionalFormatting sqref="K786">
    <cfRule type="expression" dxfId="129" priority="106" stopIfTrue="1">
      <formula>#REF!=0</formula>
    </cfRule>
  </conditionalFormatting>
  <conditionalFormatting sqref="K787">
    <cfRule type="expression" dxfId="128" priority="104" stopIfTrue="1">
      <formula>$S$706=0</formula>
    </cfRule>
  </conditionalFormatting>
  <conditionalFormatting sqref="K788">
    <cfRule type="expression" dxfId="127" priority="107" stopIfTrue="1">
      <formula>#REF!=0</formula>
    </cfRule>
  </conditionalFormatting>
  <conditionalFormatting sqref="K789">
    <cfRule type="expression" dxfId="126" priority="89" stopIfTrue="1">
      <formula>$BB$774=0</formula>
    </cfRule>
  </conditionalFormatting>
  <conditionalFormatting sqref="K790">
    <cfRule type="expression" dxfId="125" priority="108" stopIfTrue="1">
      <formula>$BB$775=$S$709</formula>
    </cfRule>
  </conditionalFormatting>
  <conditionalFormatting sqref="K792">
    <cfRule type="expression" dxfId="124" priority="90" stopIfTrue="1">
      <formula>$BB$776=0</formula>
    </cfRule>
  </conditionalFormatting>
  <conditionalFormatting sqref="K793">
    <cfRule type="expression" dxfId="123" priority="109" stopIfTrue="1">
      <formula>$Y$714=0</formula>
    </cfRule>
  </conditionalFormatting>
  <conditionalFormatting sqref="K794">
    <cfRule type="expression" dxfId="122" priority="111" stopIfTrue="1">
      <formula>$BB$778=0</formula>
    </cfRule>
  </conditionalFormatting>
  <conditionalFormatting sqref="K795:K802">
    <cfRule type="expression" dxfId="121" priority="103" stopIfTrue="1">
      <formula>$AW$722=0</formula>
    </cfRule>
  </conditionalFormatting>
  <conditionalFormatting sqref="K803">
    <cfRule type="expression" dxfId="120" priority="113" stopIfTrue="1">
      <formula>$W$719=0</formula>
    </cfRule>
  </conditionalFormatting>
  <conditionalFormatting sqref="K804">
    <cfRule type="expression" dxfId="119" priority="112" stopIfTrue="1">
      <formula>$W$739=0</formula>
    </cfRule>
  </conditionalFormatting>
  <conditionalFormatting sqref="K806">
    <cfRule type="expression" dxfId="118" priority="119" stopIfTrue="1">
      <formula>$BB$783=0</formula>
    </cfRule>
  </conditionalFormatting>
  <conditionalFormatting sqref="L205:L223 I206:J206 I207:I223">
    <cfRule type="expression" dxfId="117" priority="49" stopIfTrue="1">
      <formula>$Q$2=$M168</formula>
    </cfRule>
    <cfRule type="expression" dxfId="116" priority="50" stopIfTrue="1">
      <formula>$C$39=0</formula>
    </cfRule>
  </conditionalFormatting>
  <conditionalFormatting sqref="L777 G956 F957">
    <cfRule type="expression" dxfId="115" priority="128" stopIfTrue="1">
      <formula>$E$110&gt;0</formula>
    </cfRule>
  </conditionalFormatting>
  <conditionalFormatting sqref="M80:N98 M168:M186">
    <cfRule type="expression" dxfId="114" priority="45" stopIfTrue="1">
      <formula>$C$39=0</formula>
    </cfRule>
    <cfRule type="expression" dxfId="113" priority="44" stopIfTrue="1">
      <formula>$Q$2=$M80</formula>
    </cfRule>
  </conditionalFormatting>
  <conditionalFormatting sqref="R779 E901">
    <cfRule type="expression" dxfId="112" priority="132" stopIfTrue="1">
      <formula>$G$906&lt;&gt;0</formula>
    </cfRule>
  </conditionalFormatting>
  <conditionalFormatting sqref="S27:S34">
    <cfRule type="expression" dxfId="111" priority="13" stopIfTrue="1">
      <formula>$C$39=0</formula>
    </cfRule>
    <cfRule type="expression" dxfId="110" priority="11" stopIfTrue="1">
      <formula>$C$9=1</formula>
    </cfRule>
  </conditionalFormatting>
  <conditionalFormatting sqref="S720">
    <cfRule type="expression" dxfId="109" priority="110" stopIfTrue="1">
      <formula>#REF!=0</formula>
    </cfRule>
  </conditionalFormatting>
  <conditionalFormatting sqref="S747">
    <cfRule type="expression" dxfId="108" priority="115" stopIfTrue="1">
      <formula>$T$747=0</formula>
    </cfRule>
  </conditionalFormatting>
  <conditionalFormatting sqref="S757">
    <cfRule type="cellIs" dxfId="107" priority="96" stopIfTrue="1" operator="greaterThan">
      <formula>0</formula>
    </cfRule>
  </conditionalFormatting>
  <conditionalFormatting sqref="S60:AC60 Q61:AC106">
    <cfRule type="expression" dxfId="106" priority="42" stopIfTrue="1">
      <formula>$Q$2=$M94</formula>
    </cfRule>
    <cfRule type="expression" dxfId="105" priority="43" stopIfTrue="1">
      <formula>$C$39=0</formula>
    </cfRule>
  </conditionalFormatting>
  <conditionalFormatting sqref="T720 T747 L785:L790 L792:L806">
    <cfRule type="cellIs" dxfId="104" priority="114" stopIfTrue="1" operator="equal">
      <formula>0</formula>
    </cfRule>
  </conditionalFormatting>
  <conditionalFormatting sqref="T745:W745 C900:D900">
    <cfRule type="expression" dxfId="103" priority="123" stopIfTrue="1">
      <formula>$W$742=$S$735</formula>
    </cfRule>
  </conditionalFormatting>
  <conditionalFormatting sqref="T746:W746 S834:S860 H878 G915">
    <cfRule type="expression" dxfId="102" priority="121" stopIfTrue="1">
      <formula>$V$745&lt;=0</formula>
    </cfRule>
  </conditionalFormatting>
  <conditionalFormatting sqref="V732">
    <cfRule type="expression" dxfId="101" priority="82" stopIfTrue="1">
      <formula>$AF$707=AC754</formula>
    </cfRule>
  </conditionalFormatting>
  <conditionalFormatting sqref="V756:Y756">
    <cfRule type="expression" dxfId="100" priority="99" stopIfTrue="1">
      <formula>#REF!=0</formula>
    </cfRule>
  </conditionalFormatting>
  <conditionalFormatting sqref="Y722">
    <cfRule type="expression" dxfId="99" priority="98" stopIfTrue="1">
      <formula>AND(#REF!&lt;#REF!,#REF!&lt;#REF!)</formula>
    </cfRule>
  </conditionalFormatting>
  <conditionalFormatting sqref="Y723">
    <cfRule type="expression" dxfId="98" priority="97" stopIfTrue="1">
      <formula>AND(#REF!&lt;#REF!,#REF!&lt;#REF!)</formula>
    </cfRule>
  </conditionalFormatting>
  <conditionalFormatting sqref="Y724:Y725 Y728:Y731">
    <cfRule type="expression" dxfId="97"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6" priority="117" stopIfTrue="1">
      <formula>$R$718=1</formula>
    </cfRule>
  </conditionalFormatting>
  <conditionalFormatting sqref="AO705:AP714">
    <cfRule type="expression" dxfId="95" priority="31" stopIfTrue="1">
      <formula>$L$776=$AO705</formula>
    </cfRule>
    <cfRule type="expression" dxfId="94" priority="32" stopIfTrue="1">
      <formula>$I$29=0</formula>
    </cfRule>
  </conditionalFormatting>
  <conditionalFormatting sqref="BA784">
    <cfRule type="expression" dxfId="93" priority="131" stopIfTrue="1">
      <formula>$BB$784&lt;0</formula>
    </cfRule>
  </conditionalFormatting>
  <conditionalFormatting sqref="BA785">
    <cfRule type="expression" dxfId="92"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zoomScale="85" zoomScaleNormal="85" workbookViewId="0">
      <selection activeCell="C26" sqref="C26"/>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4"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2" t="s">
        <v>52</v>
      </c>
      <c r="C1" s="23"/>
      <c r="D1" s="24"/>
      <c r="E1" s="24"/>
      <c r="F1" s="25"/>
      <c r="G1" s="26"/>
      <c r="H1" s="26" t="s">
        <v>53</v>
      </c>
      <c r="I1" s="26"/>
      <c r="J1" s="26"/>
      <c r="K1" s="26"/>
      <c r="L1" s="26"/>
      <c r="M1" s="26"/>
      <c r="N1" s="26"/>
      <c r="O1" s="26"/>
      <c r="P1" s="26">
        <f>N82</f>
        <v>6300.0034374999996</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7.25" thickTop="1" thickBot="1" x14ac:dyDescent="0.3">
      <c r="B2" s="27" t="s">
        <v>59</v>
      </c>
      <c r="C2" s="28" t="s">
        <v>60</v>
      </c>
      <c r="D2" s="29"/>
      <c r="E2" s="29"/>
      <c r="F2" s="30" t="s">
        <v>61</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75" thickTop="1" thickBot="1" x14ac:dyDescent="0.2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1</v>
      </c>
      <c r="D6" s="36" t="s">
        <v>81</v>
      </c>
      <c r="E6" s="37"/>
      <c r="F6" s="40"/>
      <c r="G6" s="26"/>
      <c r="H6" s="26"/>
      <c r="I6" s="26"/>
      <c r="J6" s="26"/>
      <c r="K6" s="26"/>
      <c r="L6" s="26"/>
      <c r="M6" s="26"/>
      <c r="N6" s="26" t="s">
        <v>82</v>
      </c>
      <c r="O6" s="26" t="s">
        <v>83</v>
      </c>
      <c r="P6" s="26">
        <f>P4*C9</f>
        <v>2967.49</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91</v>
      </c>
      <c r="C8" s="42">
        <v>1</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99</v>
      </c>
      <c r="C9" s="44">
        <v>1</v>
      </c>
      <c r="D9" s="206" t="s">
        <v>100</v>
      </c>
      <c r="E9" s="207"/>
      <c r="F9" s="26"/>
      <c r="G9" s="26"/>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25">
      <c r="B10" s="41" t="s">
        <v>110</v>
      </c>
      <c r="C10" s="188">
        <f>F14</f>
        <v>0.16800000000000001</v>
      </c>
      <c r="D10" s="45" t="s">
        <v>111</v>
      </c>
      <c r="E10" s="38"/>
      <c r="F10" s="26"/>
      <c r="G10" s="187" t="s">
        <v>607</v>
      </c>
      <c r="H10" s="26"/>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ht="15" x14ac:dyDescent="0.25">
      <c r="B11" s="46" t="s">
        <v>32</v>
      </c>
      <c r="C11" s="47">
        <v>0</v>
      </c>
      <c r="D11" s="206" t="s">
        <v>118</v>
      </c>
      <c r="E11" s="207"/>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ht="15" x14ac:dyDescent="0.25">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ht="15" x14ac:dyDescent="0.25">
      <c r="A13" s="48"/>
      <c r="B13" s="46" t="s">
        <v>5</v>
      </c>
      <c r="C13" s="47">
        <v>0</v>
      </c>
      <c r="D13" s="206" t="s">
        <v>118</v>
      </c>
      <c r="E13" s="207"/>
      <c r="F13" s="26"/>
      <c r="G13" s="26"/>
      <c r="H13" s="26"/>
      <c r="I13" s="26"/>
      <c r="J13" s="26"/>
      <c r="K13" s="26">
        <f>($I$7+$I$8+$I$10+$I$11+$I$9+500)*1.2%*($C$7)*C9</f>
        <v>52.5</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6" t="s">
        <v>133</v>
      </c>
      <c r="E14" s="207"/>
      <c r="F14" s="26">
        <f>F16*(F15+1)</f>
        <v>0.16800000000000001</v>
      </c>
      <c r="G14" s="26"/>
      <c r="H14" s="26"/>
      <c r="I14" s="26"/>
      <c r="J14" s="26"/>
      <c r="K14" s="26">
        <f>($I$7+$I$8+$I$10+$I$11+$I$9+500)*1.2%*($C$8)*C9</f>
        <v>6</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25">
      <c r="B16" s="34" t="s">
        <v>148</v>
      </c>
      <c r="C16" s="39">
        <v>1</v>
      </c>
      <c r="D16" s="206" t="s">
        <v>149</v>
      </c>
      <c r="E16" s="207"/>
      <c r="F16" s="26">
        <f>IF(AND(C19=F18,E25&gt;0),VLOOKUP(C17,CZ12:DA43,2,TRUE)*0.01+E25*0.007+0.006,IF(C19=F18,VLOOKUP(C17,CZ12:DA43,2,TRUE)*0.01,VLOOKUP(C17,CZ12:DB43,3,TRUE)*0.01))</f>
        <v>0.16800000000000001</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ht="15" x14ac:dyDescent="0.25">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83.702039999999997</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ht="15" x14ac:dyDescent="0.25">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1</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ht="15" x14ac:dyDescent="0.25">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t="s">
        <v>180</v>
      </c>
      <c r="C20" s="35" t="s">
        <v>183</v>
      </c>
      <c r="D20" s="206" t="s">
        <v>195</v>
      </c>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t="s">
        <v>208</v>
      </c>
      <c r="C21" s="190" t="str">
        <f>G3</f>
        <v>מנהל אקדמאי קיים</v>
      </c>
      <c r="D21" s="210" t="s">
        <v>209</v>
      </c>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2">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2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3">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2">
      <c r="B25" s="57" t="s">
        <v>261</v>
      </c>
      <c r="C25" s="57">
        <v>1</v>
      </c>
      <c r="D25" s="57">
        <v>0</v>
      </c>
      <c r="E25" s="57">
        <v>0</v>
      </c>
      <c r="F25" s="58">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274.09312754315999</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2">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370.72618239809862</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25">
      <c r="C27" s="60"/>
      <c r="D27" s="60" t="s">
        <v>182</v>
      </c>
      <c r="E27" s="60"/>
      <c r="G27" s="26"/>
      <c r="H27" s="26"/>
      <c r="I27" s="26"/>
      <c r="J27" s="26"/>
      <c r="K27" s="26"/>
      <c r="L27" s="26"/>
      <c r="M27" s="26"/>
      <c r="N27" s="26"/>
      <c r="O27" s="26"/>
      <c r="P27" s="26"/>
      <c r="Q27" s="26"/>
      <c r="R27" s="26">
        <f>SUM(R10:R26)</f>
        <v>8258.5172972512592</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3">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25">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2">
      <c r="B30" s="51" t="s">
        <v>269</v>
      </c>
      <c r="C30" s="51">
        <f>C29*2.4</f>
        <v>36</v>
      </c>
      <c r="D30" s="51">
        <f>D29*2.2</f>
        <v>0</v>
      </c>
      <c r="E30" s="51">
        <f>E29*2</f>
        <v>0</v>
      </c>
      <c r="F30" s="59">
        <f>SUM(C30:E30)</f>
        <v>36</v>
      </c>
      <c r="G30" s="26"/>
      <c r="H30" s="26"/>
      <c r="I30" s="26"/>
      <c r="J30" s="26"/>
      <c r="K30" s="26"/>
      <c r="L30" s="26"/>
      <c r="M30" s="26"/>
      <c r="N30" s="26"/>
      <c r="O30" s="26" t="s">
        <v>299</v>
      </c>
      <c r="P30" s="26">
        <f>IF($C$21=$S$723,15%,15%*0.8)</f>
        <v>0.15</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25">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25">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2">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25">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2">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2">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2">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2">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2">
      <c r="B39" s="26" t="s">
        <v>374</v>
      </c>
      <c r="C39" s="26">
        <f>IF($C$38="א-ו",J111,IF($C$38="ז-ח",J112,IF($C$38="חטיבת ביניים",J112-2.5%,#REF!)))</f>
        <v>0</v>
      </c>
      <c r="D39" s="26" t="s">
        <v>375</v>
      </c>
      <c r="E39" s="26"/>
      <c r="F39" s="26"/>
      <c r="G39" s="26"/>
      <c r="H39" s="26"/>
      <c r="I39" s="26">
        <v>3</v>
      </c>
      <c r="J39" s="26">
        <f>IF(C21=S723,1*L853,IF(C21=S724,0.75*L853,IF(C21=S725,0.6836*L853,0.5948*L853)))</f>
        <v>1</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2">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2">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2">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2">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1</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2">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
      <c r="B70" s="26"/>
      <c r="C70" s="26"/>
      <c r="D70" s="26"/>
      <c r="E70" s="26"/>
      <c r="F70" s="26"/>
      <c r="G70" s="26"/>
      <c r="H70" s="26"/>
      <c r="I70" s="26"/>
      <c r="J70" s="26"/>
      <c r="K70" s="26"/>
      <c r="L70" s="26"/>
      <c r="M70" s="26"/>
      <c r="N70" s="26"/>
      <c r="O70" s="26">
        <v>755</v>
      </c>
      <c r="P70" s="26"/>
      <c r="Q70" s="26"/>
      <c r="R70" s="26" t="s">
        <v>440</v>
      </c>
      <c r="S70" s="26">
        <f>VLOOKUP(S69,S72:S88,1,1)</f>
        <v>11552.402776248533</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
      <c r="B72" s="26"/>
      <c r="C72" s="26"/>
      <c r="D72" s="26"/>
      <c r="E72" s="26"/>
      <c r="F72" s="26"/>
      <c r="G72" s="26"/>
      <c r="H72" s="26"/>
      <c r="I72" s="26"/>
      <c r="J72" s="26"/>
      <c r="K72" s="26"/>
      <c r="L72" s="26"/>
      <c r="M72" s="26"/>
      <c r="N72" s="26"/>
      <c r="O72" s="26">
        <v>628</v>
      </c>
      <c r="P72" s="26"/>
      <c r="Q72" s="26"/>
      <c r="R72" s="26">
        <f>IF(OR($C$5=$CB$16,$C$5=$CC$16),S72*1.05,S72)</f>
        <v>6300.0034374999996</v>
      </c>
      <c r="S72" s="26">
        <f>VLOOKUP(INT(W18),ofek4,1+2,FALSE)</f>
        <v>6300.0034374999996</v>
      </c>
      <c r="T72" s="26">
        <f>S72*0.75</f>
        <v>4725.0025781249997</v>
      </c>
      <c r="U72" s="26">
        <f t="shared" ref="U72:U88" si="5">T72*$U$70</f>
        <v>4307.0548375782419</v>
      </c>
      <c r="V72" s="26">
        <f t="shared" ref="V72:V88" si="6">U72*$S$64</f>
        <v>3747.0515675963188</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
      <c r="B73" s="26"/>
      <c r="C73" s="26"/>
      <c r="D73" s="26"/>
      <c r="E73" s="26"/>
      <c r="F73" s="26"/>
      <c r="G73" s="26"/>
      <c r="H73" s="26"/>
      <c r="I73" s="26"/>
      <c r="J73" s="26"/>
      <c r="K73" s="26"/>
      <c r="L73" s="26"/>
      <c r="M73" s="26"/>
      <c r="N73" s="26"/>
      <c r="O73" s="26">
        <v>543</v>
      </c>
      <c r="P73" s="26"/>
      <c r="Q73" s="26"/>
      <c r="R73" s="26">
        <f>R72*1.0375</f>
        <v>6536.2535664062498</v>
      </c>
      <c r="S73" s="26">
        <f>S72*1.0375</f>
        <v>6536.2535664062498</v>
      </c>
      <c r="T73" s="26">
        <f t="shared" ref="T73:T88" si="7">S73*0.75</f>
        <v>4902.1901748046876</v>
      </c>
      <c r="U73" s="26">
        <f t="shared" si="5"/>
        <v>4468.5693939874263</v>
      </c>
      <c r="V73" s="26">
        <f t="shared" si="6"/>
        <v>3887.5660013811812</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
      <c r="B74" s="26"/>
      <c r="C74" s="26"/>
      <c r="D74" s="26"/>
      <c r="E74" s="26"/>
      <c r="F74" s="26"/>
      <c r="G74" s="26"/>
      <c r="H74" s="26"/>
      <c r="I74" s="26" t="s">
        <v>448</v>
      </c>
      <c r="J74" s="26"/>
      <c r="K74" s="26"/>
      <c r="L74" s="26"/>
      <c r="M74" s="26"/>
      <c r="N74" s="26"/>
      <c r="O74" s="26">
        <v>543</v>
      </c>
      <c r="P74" s="26"/>
      <c r="Q74" s="26"/>
      <c r="R74" s="26">
        <f>IF(OR($C$5=$CB$16,$C$5=$CC$16),S74*1.05,S74)</f>
        <v>6772.5036953124991</v>
      </c>
      <c r="S74" s="26">
        <f>VLOOKUP(INT(W18),ofek4,2+2,FALSE)</f>
        <v>6772.5036953124991</v>
      </c>
      <c r="T74" s="26">
        <f t="shared" si="7"/>
        <v>5079.3777714843745</v>
      </c>
      <c r="U74" s="26">
        <f t="shared" si="5"/>
        <v>4630.0839503966099</v>
      </c>
      <c r="V74" s="26">
        <f t="shared" si="6"/>
        <v>4028.0804351660427</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
      <c r="B75" s="26"/>
      <c r="C75" s="26"/>
      <c r="D75" s="26"/>
      <c r="E75" s="26"/>
      <c r="F75" s="26"/>
      <c r="G75" s="26"/>
      <c r="H75" s="26"/>
      <c r="I75" s="26">
        <f>C25+D25+E25</f>
        <v>1</v>
      </c>
      <c r="J75" s="26"/>
      <c r="K75" s="26">
        <f>D25*0.1</f>
        <v>0</v>
      </c>
      <c r="L75" s="26">
        <f>E25*1</f>
        <v>0</v>
      </c>
      <c r="M75" s="26"/>
      <c r="N75" s="26"/>
      <c r="O75" s="26">
        <v>543</v>
      </c>
      <c r="P75" s="26"/>
      <c r="Q75" s="26"/>
      <c r="R75" s="26">
        <f>R74*1.0375</f>
        <v>7026.472583886718</v>
      </c>
      <c r="S75" s="26">
        <f>S74*1.0375</f>
        <v>7026.472583886718</v>
      </c>
      <c r="T75" s="26">
        <f t="shared" si="7"/>
        <v>5269.8544379150389</v>
      </c>
      <c r="U75" s="26">
        <f t="shared" si="5"/>
        <v>4803.7120985364836</v>
      </c>
      <c r="V75" s="26">
        <f t="shared" si="6"/>
        <v>4179.1334514847695</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
      <c r="B76" s="26"/>
      <c r="C76" s="26"/>
      <c r="D76" s="26"/>
      <c r="E76" s="26"/>
      <c r="F76" s="26"/>
      <c r="G76" s="26"/>
      <c r="H76" s="26"/>
      <c r="I76" s="26"/>
      <c r="J76" s="26"/>
      <c r="K76" s="26"/>
      <c r="L76" s="26"/>
      <c r="M76" s="26"/>
      <c r="N76" s="26"/>
      <c r="O76" s="26">
        <v>543</v>
      </c>
      <c r="P76" s="26"/>
      <c r="Q76" s="26"/>
      <c r="R76" s="26">
        <f>IF(OR($C$5=$CB$16,$C$5=$CC$16),S76*1.05,S76)</f>
        <v>7280.441472460936</v>
      </c>
      <c r="S76" s="26">
        <f>VLOOKUP(INT(W18),ofek4,3+2,FALSE)</f>
        <v>7280.441472460936</v>
      </c>
      <c r="T76" s="26">
        <f t="shared" si="7"/>
        <v>5460.3311043457015</v>
      </c>
      <c r="U76" s="26">
        <f t="shared" si="5"/>
        <v>4977.3402466763546</v>
      </c>
      <c r="V76" s="26">
        <f t="shared" si="6"/>
        <v>4330.1864678034945</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
      <c r="B77" s="26"/>
      <c r="C77" s="26"/>
      <c r="D77" s="26"/>
      <c r="E77" s="26"/>
      <c r="F77" s="26"/>
      <c r="G77" s="26"/>
      <c r="H77" s="26"/>
      <c r="I77" s="26"/>
      <c r="J77" s="26"/>
      <c r="K77" s="26">
        <f>I75+K75+L75</f>
        <v>1</v>
      </c>
      <c r="L77" s="26"/>
      <c r="M77" s="26"/>
      <c r="N77" s="26"/>
      <c r="O77" s="26">
        <v>543</v>
      </c>
      <c r="P77" s="26"/>
      <c r="Q77" s="26"/>
      <c r="R77" s="26">
        <f>R76*1.0375</f>
        <v>7553.4580276782217</v>
      </c>
      <c r="S77" s="26">
        <f>S76*1.0375</f>
        <v>7553.4580276782217</v>
      </c>
      <c r="T77" s="26">
        <f t="shared" si="7"/>
        <v>5665.0935207586663</v>
      </c>
      <c r="U77" s="26">
        <f t="shared" si="5"/>
        <v>5163.9905059267185</v>
      </c>
      <c r="V77" s="26">
        <f t="shared" si="6"/>
        <v>4492.5684603461268</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
      <c r="B78" s="26"/>
      <c r="C78" s="26"/>
      <c r="D78" s="26"/>
      <c r="E78" s="26"/>
      <c r="F78" s="26"/>
      <c r="G78" s="26"/>
      <c r="H78" s="26"/>
      <c r="I78" s="26"/>
      <c r="J78" s="26"/>
      <c r="K78" s="26"/>
      <c r="L78" s="26"/>
      <c r="M78" s="26"/>
      <c r="N78" s="26"/>
      <c r="O78" s="26">
        <v>543</v>
      </c>
      <c r="P78" s="26"/>
      <c r="Q78" s="26"/>
      <c r="R78" s="26">
        <f>IF(OR($C$5=$CB$16,$C$5=$CC$16),S78*1.05,S78)</f>
        <v>7826.4745828955056</v>
      </c>
      <c r="S78" s="26">
        <f>VLOOKUP(INT(W18),ofek4,4+2,FALSE)</f>
        <v>7826.4745828955056</v>
      </c>
      <c r="T78" s="26">
        <f t="shared" si="7"/>
        <v>5869.8559371716292</v>
      </c>
      <c r="U78" s="26">
        <f t="shared" si="5"/>
        <v>5350.6407651770814</v>
      </c>
      <c r="V78" s="26">
        <f t="shared" si="6"/>
        <v>4654.9504528887574</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
      <c r="B79" s="26"/>
      <c r="C79" s="26"/>
      <c r="D79" s="26"/>
      <c r="E79" s="26"/>
      <c r="F79" s="26"/>
      <c r="G79" s="26"/>
      <c r="H79" s="26"/>
      <c r="I79" s="26"/>
      <c r="J79" s="26"/>
      <c r="K79" s="26"/>
      <c r="L79" s="26"/>
      <c r="M79" s="26"/>
      <c r="N79" s="26"/>
      <c r="O79" s="26">
        <v>543</v>
      </c>
      <c r="P79" s="26"/>
      <c r="Q79" s="26"/>
      <c r="R79" s="26">
        <f>R78*1.0375</f>
        <v>8119.9673797540881</v>
      </c>
      <c r="S79" s="26">
        <f>S78*1.0375</f>
        <v>8119.9673797540881</v>
      </c>
      <c r="T79" s="26">
        <f t="shared" si="7"/>
        <v>6089.9755348155659</v>
      </c>
      <c r="U79" s="26">
        <f t="shared" si="5"/>
        <v>5551.2897938712222</v>
      </c>
      <c r="V79" s="26">
        <f t="shared" si="6"/>
        <v>4829.5110948720858</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
      <c r="B80" s="26"/>
      <c r="C80" s="26"/>
      <c r="D80" s="26"/>
      <c r="E80" s="26"/>
      <c r="F80" s="26"/>
      <c r="G80" s="26"/>
      <c r="H80" s="26"/>
      <c r="I80" s="26"/>
      <c r="J80" s="26"/>
      <c r="K80" s="26"/>
      <c r="L80" s="26"/>
      <c r="M80" s="26" t="s">
        <v>453</v>
      </c>
      <c r="N80" s="26"/>
      <c r="O80" s="26">
        <v>543</v>
      </c>
      <c r="P80" s="26"/>
      <c r="Q80" s="26"/>
      <c r="R80" s="26">
        <f>IF(OR($C$5=$CB$16,$C$5=$CC$16),S80*1.05,S80)</f>
        <v>8413.4601766126689</v>
      </c>
      <c r="S80" s="26">
        <f>VLOOKUP(INT(W18),ofek4,5+2,FALSE)</f>
        <v>8413.4601766126689</v>
      </c>
      <c r="T80" s="26">
        <f t="shared" si="7"/>
        <v>6310.0951324595017</v>
      </c>
      <c r="U80" s="26">
        <f t="shared" si="5"/>
        <v>5751.9388225653629</v>
      </c>
      <c r="V80" s="26">
        <f t="shared" si="6"/>
        <v>5004.0717368554142</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
      <c r="B81" s="26"/>
      <c r="C81" s="26"/>
      <c r="D81" s="26"/>
      <c r="E81" s="26"/>
      <c r="F81" s="26"/>
      <c r="G81" s="26"/>
      <c r="H81" s="26"/>
      <c r="I81" s="26"/>
      <c r="J81" s="26"/>
      <c r="K81" s="26"/>
      <c r="L81" s="26"/>
      <c r="M81" s="26" t="s">
        <v>278</v>
      </c>
      <c r="N81" s="26" t="str">
        <f>W18&amp;"  שנות הוראה  "</f>
        <v xml:space="preserve">1  שנות הוראה  </v>
      </c>
      <c r="O81" s="26">
        <v>543</v>
      </c>
      <c r="P81" s="26"/>
      <c r="Q81" s="26"/>
      <c r="R81" s="26">
        <f>R80*1.0375</f>
        <v>8728.9649332356439</v>
      </c>
      <c r="S81" s="26">
        <f>S80*1.0375</f>
        <v>8728.9649332356439</v>
      </c>
      <c r="T81" s="26">
        <f t="shared" si="7"/>
        <v>6546.7236999267334</v>
      </c>
      <c r="U81" s="26">
        <f t="shared" si="5"/>
        <v>5967.6365284115645</v>
      </c>
      <c r="V81" s="26">
        <f t="shared" si="6"/>
        <v>5191.7244269874927</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
      <c r="B82" s="26"/>
      <c r="C82" s="26"/>
      <c r="D82" s="26"/>
      <c r="E82" s="26"/>
      <c r="F82" s="26"/>
      <c r="G82" s="26"/>
      <c r="H82" s="26"/>
      <c r="I82" s="26"/>
      <c r="J82" s="26"/>
      <c r="K82" s="26"/>
      <c r="L82" s="26"/>
      <c r="M82" s="26">
        <v>1</v>
      </c>
      <c r="N82" s="26">
        <f t="shared" ref="N82:N98" si="8">IF($C$5=$CB$16,R72*1.05,IF($C$5=$CE$16,T72,IF($C$5=$CF$16,U72,IF(OR($C$5=$CC$16,$C$5=$CD$16),S72,U72*$S$64))))</f>
        <v>6300.0034374999996</v>
      </c>
      <c r="O82" s="26"/>
      <c r="P82" s="26"/>
      <c r="Q82" s="26"/>
      <c r="R82" s="26">
        <f>IF(OR($C$5=$CB$16,$C$5=$CC$16),S82*1.05,S82)</f>
        <v>9044.4696898586189</v>
      </c>
      <c r="S82" s="26">
        <f>VLOOKUP(INT(W18),ofek4,6+2,FALSE)</f>
        <v>9044.4696898586189</v>
      </c>
      <c r="T82" s="26">
        <f t="shared" si="7"/>
        <v>6783.3522673939642</v>
      </c>
      <c r="U82" s="26">
        <f t="shared" si="5"/>
        <v>6183.3342342577653</v>
      </c>
      <c r="V82" s="26">
        <f t="shared" si="6"/>
        <v>5379.3771171195704</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
      <c r="B83" s="26"/>
      <c r="C83" s="26"/>
      <c r="D83" s="26"/>
      <c r="E83" s="26"/>
      <c r="F83" s="26"/>
      <c r="G83" s="26"/>
      <c r="H83" s="26"/>
      <c r="I83" s="26"/>
      <c r="J83" s="26"/>
      <c r="K83" s="26"/>
      <c r="L83" s="26"/>
      <c r="M83" s="26">
        <v>1.5</v>
      </c>
      <c r="N83" s="26">
        <f t="shared" si="8"/>
        <v>6536.2535664062498</v>
      </c>
      <c r="O83" s="26"/>
      <c r="P83" s="26"/>
      <c r="Q83" s="26"/>
      <c r="R83" s="26">
        <f>R82*1.0375</f>
        <v>9383.6373032283173</v>
      </c>
      <c r="S83" s="26">
        <f>S82*1.0425</f>
        <v>9428.8596516776106</v>
      </c>
      <c r="T83" s="26">
        <f t="shared" si="7"/>
        <v>7071.6447387582084</v>
      </c>
      <c r="U83" s="26">
        <f t="shared" si="5"/>
        <v>6446.1259392137208</v>
      </c>
      <c r="V83" s="26">
        <f t="shared" si="6"/>
        <v>5608.000644597153</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
      <c r="B84" s="26"/>
      <c r="C84" s="26"/>
      <c r="D84" s="26"/>
      <c r="E84" s="26"/>
      <c r="F84" s="26"/>
      <c r="G84" s="26"/>
      <c r="H84" s="26"/>
      <c r="I84" s="26"/>
      <c r="J84" s="26"/>
      <c r="K84" s="26"/>
      <c r="L84" s="26"/>
      <c r="M84" s="26">
        <v>2</v>
      </c>
      <c r="N84" s="26">
        <f t="shared" si="8"/>
        <v>6772.5036953124991</v>
      </c>
      <c r="O84" s="26"/>
      <c r="P84" s="26"/>
      <c r="Q84" s="26"/>
      <c r="R84" s="26">
        <f>IF(OR($C$5=$CB$16,$C$5=$CC$16),S84*1.05,S84)</f>
        <v>9813.2496134966004</v>
      </c>
      <c r="S84" s="26">
        <f>VLOOKUP(INT(W18),ofek4,7+2,FALSE)</f>
        <v>9813.2496134966004</v>
      </c>
      <c r="T84" s="26">
        <f>S84*0.75</f>
        <v>7359.9372101224508</v>
      </c>
      <c r="U84" s="26">
        <f t="shared" si="5"/>
        <v>6708.9176441696745</v>
      </c>
      <c r="V84" s="26">
        <f t="shared" si="6"/>
        <v>5836.624172074733</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
      <c r="B85" s="26"/>
      <c r="C85" s="26"/>
      <c r="D85" s="26"/>
      <c r="E85" s="26"/>
      <c r="F85" s="26"/>
      <c r="G85" s="26"/>
      <c r="H85" s="26"/>
      <c r="I85" s="26"/>
      <c r="J85" s="26"/>
      <c r="K85" s="26"/>
      <c r="L85" s="26"/>
      <c r="M85" s="26">
        <v>2.5</v>
      </c>
      <c r="N85" s="26">
        <f t="shared" si="8"/>
        <v>7026.472583886718</v>
      </c>
      <c r="O85" s="26" t="s">
        <v>9</v>
      </c>
      <c r="P85" s="26" t="s">
        <v>12</v>
      </c>
      <c r="Q85" s="26" t="s">
        <v>13</v>
      </c>
      <c r="R85" s="26">
        <f>R84*1.0375</f>
        <v>10181.246474002724</v>
      </c>
      <c r="S85" s="26">
        <f>S84*1.0425</f>
        <v>10230.312722070206</v>
      </c>
      <c r="T85" s="26">
        <f t="shared" si="7"/>
        <v>7672.7345415526543</v>
      </c>
      <c r="U85" s="26">
        <f t="shared" si="5"/>
        <v>6994.0466440468854</v>
      </c>
      <c r="V85" s="26">
        <f t="shared" si="6"/>
        <v>6084.680699387909</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
      <c r="B86" s="26"/>
      <c r="C86" s="26"/>
      <c r="D86" s="26"/>
      <c r="E86" s="26"/>
      <c r="F86" s="26"/>
      <c r="G86" s="26"/>
      <c r="H86" s="26"/>
      <c r="I86" s="26"/>
      <c r="J86" s="26"/>
      <c r="K86" s="26"/>
      <c r="L86" s="26"/>
      <c r="M86" s="26">
        <v>3</v>
      </c>
      <c r="N86" s="26">
        <f t="shared" si="8"/>
        <v>7280.441472460936</v>
      </c>
      <c r="O86" s="26">
        <f t="shared" ref="O86:O102" si="9">N120*0.75</f>
        <v>4725.0025781249997</v>
      </c>
      <c r="P86" s="26">
        <f t="shared" ref="P86:P102" si="10">O86*$U$70</f>
        <v>4307.0548375782419</v>
      </c>
      <c r="Q86" s="26">
        <f t="shared" ref="Q86:Q102" si="11">P86*$S$64</f>
        <v>3747.0515675963188</v>
      </c>
      <c r="R86" s="26">
        <f>IF(OR($C$5=$CB$16,$C$5=$CC$16),S86*1.05,S86)</f>
        <v>10647.37583064381</v>
      </c>
      <c r="S86" s="26">
        <f>VLOOKUP(INT(W18),ofek4,8+2,FALSE)</f>
        <v>10647.37583064381</v>
      </c>
      <c r="T86" s="26">
        <f t="shared" si="7"/>
        <v>7985.5318729828577</v>
      </c>
      <c r="U86" s="26">
        <f t="shared" si="5"/>
        <v>7279.1756439240953</v>
      </c>
      <c r="V86" s="26">
        <f t="shared" si="6"/>
        <v>6332.7372267010842</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
      <c r="A87" t="s">
        <v>59</v>
      </c>
      <c r="B87" s="26"/>
      <c r="C87" s="26"/>
      <c r="D87" s="26"/>
      <c r="E87" s="26"/>
      <c r="F87" s="26"/>
      <c r="G87" s="26"/>
      <c r="H87" s="26"/>
      <c r="I87" s="26"/>
      <c r="J87" s="26"/>
      <c r="K87" s="26"/>
      <c r="L87" s="26"/>
      <c r="M87" s="26">
        <v>3.5</v>
      </c>
      <c r="N87" s="26">
        <f t="shared" si="8"/>
        <v>7553.4580276782217</v>
      </c>
      <c r="O87" s="26">
        <f t="shared" si="9"/>
        <v>4902.1901748046876</v>
      </c>
      <c r="P87" s="26">
        <f t="shared" si="10"/>
        <v>4468.5693939874263</v>
      </c>
      <c r="Q87" s="26">
        <f t="shared" si="11"/>
        <v>3887.5660013811812</v>
      </c>
      <c r="R87" s="26">
        <f>R86*1.0375</f>
        <v>11046.652424292954</v>
      </c>
      <c r="S87" s="26">
        <f>S86*1.0425</f>
        <v>11099.889303446173</v>
      </c>
      <c r="T87" s="26">
        <f t="shared" si="7"/>
        <v>8324.9169775846294</v>
      </c>
      <c r="U87" s="26">
        <f t="shared" si="5"/>
        <v>7588.5406087908696</v>
      </c>
      <c r="V87" s="26">
        <f t="shared" si="6"/>
        <v>6601.8785588358805</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
      <c r="B88" s="26"/>
      <c r="C88" s="26"/>
      <c r="D88" s="26"/>
      <c r="E88" s="26"/>
      <c r="F88" s="26"/>
      <c r="G88" s="26"/>
      <c r="H88" s="26"/>
      <c r="I88" s="26"/>
      <c r="J88" s="26"/>
      <c r="K88" s="26"/>
      <c r="L88" s="26"/>
      <c r="M88" s="26">
        <v>4</v>
      </c>
      <c r="N88" s="26">
        <f t="shared" si="8"/>
        <v>7826.4745828955056</v>
      </c>
      <c r="O88" s="26">
        <f t="shared" si="9"/>
        <v>5079.3777714843745</v>
      </c>
      <c r="P88" s="26">
        <f t="shared" si="10"/>
        <v>4630.0839503966099</v>
      </c>
      <c r="Q88" s="26">
        <f t="shared" si="11"/>
        <v>4028.0804351660427</v>
      </c>
      <c r="R88" s="26">
        <f>IF(OR($C$5=$CB$16,$C$5=$CC$16),S88*1.05,S88)</f>
        <v>11552.402776248533</v>
      </c>
      <c r="S88" s="26">
        <f>VLOOKUP(INT(W18),ofek4,9+2,FALSE)</f>
        <v>11552.402776248533</v>
      </c>
      <c r="T88" s="26">
        <f t="shared" si="7"/>
        <v>8664.3020821863993</v>
      </c>
      <c r="U88" s="26">
        <f t="shared" si="5"/>
        <v>7897.9055736576429</v>
      </c>
      <c r="V88" s="26">
        <f t="shared" si="6"/>
        <v>6871.019890970676</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
      <c r="B89" s="26"/>
      <c r="C89" s="26"/>
      <c r="D89" s="26"/>
      <c r="E89" s="26"/>
      <c r="F89" s="26"/>
      <c r="G89" s="26"/>
      <c r="H89" s="26"/>
      <c r="I89" s="26"/>
      <c r="J89" s="26"/>
      <c r="K89" s="26"/>
      <c r="L89" s="26"/>
      <c r="M89" s="26">
        <v>4.5</v>
      </c>
      <c r="N89" s="26">
        <f t="shared" si="8"/>
        <v>8119.9673797540881</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
      <c r="B90" s="26"/>
      <c r="C90" s="26"/>
      <c r="D90" s="26"/>
      <c r="E90" s="26"/>
      <c r="F90" s="26"/>
      <c r="G90" s="26"/>
      <c r="H90" s="26"/>
      <c r="I90" s="26"/>
      <c r="J90" s="26"/>
      <c r="K90" s="26"/>
      <c r="L90" s="26"/>
      <c r="M90" s="26">
        <v>5</v>
      </c>
      <c r="N90" s="26">
        <f t="shared" si="8"/>
        <v>8413.4601766126689</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
      <c r="B91" s="26"/>
      <c r="C91" s="26"/>
      <c r="D91" s="26"/>
      <c r="E91" s="26"/>
      <c r="F91" s="26"/>
      <c r="G91" s="26"/>
      <c r="H91" s="26"/>
      <c r="I91" s="26"/>
      <c r="J91" s="26"/>
      <c r="K91" s="26"/>
      <c r="L91" s="26"/>
      <c r="M91" s="26">
        <v>5.5</v>
      </c>
      <c r="N91" s="26">
        <f t="shared" si="8"/>
        <v>8728.9649332356439</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
      <c r="B92" s="26"/>
      <c r="C92" s="26"/>
      <c r="D92" s="26"/>
      <c r="E92" s="26"/>
      <c r="F92" s="26"/>
      <c r="G92" s="26"/>
      <c r="H92" s="26"/>
      <c r="I92" s="26"/>
      <c r="J92" s="26"/>
      <c r="K92" s="26"/>
      <c r="L92" s="26"/>
      <c r="M92" s="26">
        <v>6</v>
      </c>
      <c r="N92" s="26">
        <f t="shared" si="8"/>
        <v>9044.4696898586189</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
      <c r="B93" s="26"/>
      <c r="C93" s="26"/>
      <c r="D93" s="26"/>
      <c r="E93" s="26"/>
      <c r="F93" s="26"/>
      <c r="G93" s="26"/>
      <c r="H93" s="26"/>
      <c r="I93" s="26"/>
      <c r="J93" s="26"/>
      <c r="K93" s="26"/>
      <c r="L93" s="26"/>
      <c r="M93" s="26">
        <v>6.5</v>
      </c>
      <c r="N93" s="26">
        <f t="shared" si="8"/>
        <v>9428.8596516776106</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
      <c r="B94" s="26"/>
      <c r="C94" s="26"/>
      <c r="D94" s="26"/>
      <c r="E94" s="26"/>
      <c r="F94" s="26"/>
      <c r="G94" s="26"/>
      <c r="H94" s="26"/>
      <c r="I94" s="26"/>
      <c r="J94" s="26"/>
      <c r="K94" s="26"/>
      <c r="L94" s="26"/>
      <c r="M94" s="26">
        <v>7</v>
      </c>
      <c r="N94" s="26">
        <f t="shared" si="8"/>
        <v>9813.2496134966004</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
      <c r="B95" s="26"/>
      <c r="C95" s="26"/>
      <c r="D95" s="26"/>
      <c r="E95" s="26"/>
      <c r="F95" s="26"/>
      <c r="G95" s="26"/>
      <c r="H95" s="26"/>
      <c r="I95" s="26"/>
      <c r="J95" s="26"/>
      <c r="K95" s="26"/>
      <c r="L95" s="26"/>
      <c r="M95" s="26">
        <v>7.5</v>
      </c>
      <c r="N95" s="26">
        <f t="shared" si="8"/>
        <v>10230.312722070206</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
      <c r="B96" s="26"/>
      <c r="C96" s="26"/>
      <c r="D96" s="26"/>
      <c r="E96" s="26"/>
      <c r="F96" s="26"/>
      <c r="G96" s="26"/>
      <c r="H96" s="26"/>
      <c r="I96" s="26"/>
      <c r="J96" s="26"/>
      <c r="K96" s="26"/>
      <c r="L96" s="26"/>
      <c r="M96" s="26">
        <v>8</v>
      </c>
      <c r="N96" s="26">
        <f t="shared" si="8"/>
        <v>10647.37583064381</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
      <c r="B97" s="26"/>
      <c r="C97" s="26"/>
      <c r="D97" s="26"/>
      <c r="E97" s="26"/>
      <c r="F97" s="26"/>
      <c r="G97" s="26"/>
      <c r="H97" s="26"/>
      <c r="I97" s="26"/>
      <c r="J97" s="26"/>
      <c r="K97" s="26"/>
      <c r="L97" s="26"/>
      <c r="M97" s="26">
        <v>8.5</v>
      </c>
      <c r="N97" s="26">
        <f t="shared" si="8"/>
        <v>11099.889303446173</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
      <c r="B98" s="26"/>
      <c r="C98" s="26"/>
      <c r="D98" s="26"/>
      <c r="E98" s="26"/>
      <c r="F98" s="26"/>
      <c r="G98" s="26"/>
      <c r="H98" s="26"/>
      <c r="I98" s="26"/>
      <c r="J98" s="26"/>
      <c r="K98" s="26"/>
      <c r="L98" s="26"/>
      <c r="M98" s="26">
        <v>9</v>
      </c>
      <c r="N98" s="26">
        <f t="shared" si="8"/>
        <v>11552.402776248533</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
      <c r="B144" s="26" t="s">
        <v>487</v>
      </c>
      <c r="C144" s="26">
        <v>0.27</v>
      </c>
      <c r="D144" s="26">
        <v>0.37</v>
      </c>
      <c r="E144" s="26">
        <f>C144+12.5%</f>
        <v>0.39500000000000002</v>
      </c>
      <c r="F144" s="26">
        <f>IF(C14&gt;0,30*C9-3,30*C9)</f>
        <v>30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
      <c r="B169" s="26" t="s">
        <v>71</v>
      </c>
      <c r="C169" s="26" t="s">
        <v>509</v>
      </c>
      <c r="D169" s="26"/>
      <c r="E169" s="26"/>
      <c r="F169" s="26"/>
      <c r="G169" s="26">
        <v>8.5</v>
      </c>
      <c r="H169" s="26"/>
      <c r="I169" s="26"/>
      <c r="J169" s="26"/>
      <c r="K169" s="26">
        <v>7</v>
      </c>
      <c r="L169" s="26"/>
      <c r="M169" s="26" t="str">
        <f t="shared" si="14"/>
        <v xml:space="preserve">1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
      <c r="B170" s="26"/>
      <c r="C170" s="26" t="s">
        <v>510</v>
      </c>
      <c r="D170" s="26"/>
      <c r="E170" s="26"/>
      <c r="F170" s="26"/>
      <c r="G170" s="26">
        <v>9</v>
      </c>
      <c r="H170" s="26" t="s">
        <v>59</v>
      </c>
      <c r="I170" s="26"/>
      <c r="J170" s="26"/>
      <c r="K170" s="26">
        <v>7.5</v>
      </c>
      <c r="L170" s="26"/>
      <c r="M170" s="26">
        <f t="shared" si="14"/>
        <v>6300.0034374999996</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
      <c r="B171" s="26"/>
      <c r="C171" s="26" t="s">
        <v>511</v>
      </c>
      <c r="D171" s="26"/>
      <c r="E171" s="26"/>
      <c r="F171" s="26"/>
      <c r="G171" s="26"/>
      <c r="H171" s="26"/>
      <c r="I171" s="26"/>
      <c r="J171" s="26"/>
      <c r="K171" s="26">
        <v>8</v>
      </c>
      <c r="L171" s="26"/>
      <c r="M171" s="26">
        <f t="shared" si="14"/>
        <v>6536.2535664062498</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
      <c r="B172" s="26" t="s">
        <v>512</v>
      </c>
      <c r="C172" s="26">
        <v>0</v>
      </c>
      <c r="D172" s="26"/>
      <c r="E172" s="26"/>
      <c r="F172" s="26"/>
      <c r="G172" s="26"/>
      <c r="H172" s="26"/>
      <c r="I172" s="26"/>
      <c r="J172" s="26"/>
      <c r="K172" s="26">
        <v>8.5</v>
      </c>
      <c r="L172" s="26"/>
      <c r="M172" s="26">
        <f t="shared" si="14"/>
        <v>6772.5036953124991</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
      <c r="B173" s="26" t="s">
        <v>59</v>
      </c>
      <c r="C173" s="26"/>
      <c r="D173" s="26"/>
      <c r="E173" s="26"/>
      <c r="F173" s="26" t="s">
        <v>198</v>
      </c>
      <c r="G173" s="26"/>
      <c r="H173" s="26" t="s">
        <v>513</v>
      </c>
      <c r="I173" s="26">
        <f>DATE(YEAR(J4),MONTH(J4)-MONTH(J4)+1,DAY(J4)-DAY(J4)+1)</f>
        <v>1</v>
      </c>
      <c r="J173" s="26"/>
      <c r="K173" s="26">
        <v>9</v>
      </c>
      <c r="L173" s="26"/>
      <c r="M173" s="26">
        <f t="shared" si="14"/>
        <v>7026.472583886718</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
      <c r="B174" s="26"/>
      <c r="C174" s="26"/>
      <c r="D174" s="26"/>
      <c r="E174" s="26"/>
      <c r="F174" s="26"/>
      <c r="G174" s="26"/>
      <c r="H174" s="26"/>
      <c r="I174" s="26"/>
      <c r="J174" s="26"/>
      <c r="K174" s="26"/>
      <c r="L174" s="26"/>
      <c r="M174" s="26">
        <f t="shared" si="14"/>
        <v>7280.441472460936</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f t="shared" si="14"/>
        <v>7553.4580276782217</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
      <c r="B176" s="26"/>
      <c r="C176" s="26" t="s">
        <v>515</v>
      </c>
      <c r="D176" s="26"/>
      <c r="E176" s="26"/>
      <c r="F176" s="26"/>
      <c r="G176" s="26"/>
      <c r="H176" s="26"/>
      <c r="I176" s="26"/>
      <c r="J176" s="26"/>
      <c r="K176" s="26"/>
      <c r="L176" s="26"/>
      <c r="M176" s="26">
        <f t="shared" si="14"/>
        <v>7826.4745828955056</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
      <c r="B177" s="26"/>
      <c r="C177" s="26" t="s">
        <v>516</v>
      </c>
      <c r="D177" s="26" t="s">
        <v>59</v>
      </c>
      <c r="E177" s="26"/>
      <c r="F177" s="26"/>
      <c r="G177" s="26" t="str">
        <f>AB32</f>
        <v>תקציבית</v>
      </c>
      <c r="H177" s="26"/>
      <c r="I177" s="26" t="e">
        <f>F205</f>
        <v>#REF!</v>
      </c>
      <c r="J177" s="26"/>
      <c r="K177" s="26"/>
      <c r="L177" s="26"/>
      <c r="M177" s="26">
        <f t="shared" si="14"/>
        <v>8119.9673797540881</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
      <c r="B178" s="26"/>
      <c r="C178" s="26" t="s">
        <v>517</v>
      </c>
      <c r="D178" s="26" t="s">
        <v>518</v>
      </c>
      <c r="E178" s="26"/>
      <c r="F178" s="26" t="s">
        <v>519</v>
      </c>
      <c r="G178" s="26">
        <f>67</f>
        <v>67</v>
      </c>
      <c r="H178" s="26"/>
      <c r="I178" s="26"/>
      <c r="J178" s="26"/>
      <c r="K178" s="26"/>
      <c r="L178" s="26"/>
      <c r="M178" s="26">
        <f t="shared" si="14"/>
        <v>8413.4601766126689</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
      <c r="B179" s="26"/>
      <c r="C179" s="26" t="s">
        <v>477</v>
      </c>
      <c r="D179" s="26" t="s">
        <v>520</v>
      </c>
      <c r="E179" s="26"/>
      <c r="F179" s="26" t="s">
        <v>521</v>
      </c>
      <c r="G179" s="26" t="e">
        <f>#REF!</f>
        <v>#REF!</v>
      </c>
      <c r="H179" s="26"/>
      <c r="I179" s="26" t="s">
        <v>59</v>
      </c>
      <c r="J179" s="26"/>
      <c r="K179" s="26"/>
      <c r="L179" s="26"/>
      <c r="M179" s="26">
        <f t="shared" si="14"/>
        <v>8728.9649332356439</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
      <c r="B180" s="26"/>
      <c r="C180" s="26" t="s">
        <v>522</v>
      </c>
      <c r="D180" s="26" t="s">
        <v>476</v>
      </c>
      <c r="E180" s="26"/>
      <c r="F180" s="26" t="s">
        <v>523</v>
      </c>
      <c r="G180" s="26">
        <f>G202</f>
        <v>52.87</v>
      </c>
      <c r="H180" s="26"/>
      <c r="I180" s="26" t="s">
        <v>59</v>
      </c>
      <c r="J180" s="26"/>
      <c r="K180" s="26"/>
      <c r="L180" s="26"/>
      <c r="M180" s="26">
        <f t="shared" si="14"/>
        <v>9044.4696898586189</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
      <c r="B181" s="26"/>
      <c r="C181" s="26" t="s">
        <v>524</v>
      </c>
      <c r="D181" s="26" t="s">
        <v>525</v>
      </c>
      <c r="E181" s="26"/>
      <c r="F181" s="26"/>
      <c r="G181" s="26" t="s">
        <v>526</v>
      </c>
      <c r="H181" s="26"/>
      <c r="I181" s="26"/>
      <c r="J181" s="26"/>
      <c r="K181" s="26"/>
      <c r="L181" s="26"/>
      <c r="M181" s="26">
        <f t="shared" si="14"/>
        <v>9428.8596516776106</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f t="shared" si="14"/>
        <v>9813.2496134966004</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
      <c r="B183" s="26"/>
      <c r="C183" s="26" t="s">
        <v>529</v>
      </c>
      <c r="D183" s="26" t="s">
        <v>479</v>
      </c>
      <c r="E183" s="26"/>
      <c r="F183" s="26" t="e">
        <f>#REF!/#REF!*F187</f>
        <v>#REF!</v>
      </c>
      <c r="G183" s="26" t="s">
        <v>530</v>
      </c>
      <c r="H183" s="26"/>
      <c r="I183" s="26"/>
      <c r="J183" s="26" t="s">
        <v>59</v>
      </c>
      <c r="K183" s="26"/>
      <c r="L183" s="26"/>
      <c r="M183" s="26">
        <f t="shared" si="14"/>
        <v>10230.312722070206</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
      <c r="B184" s="26"/>
      <c r="C184" s="26" t="s">
        <v>531</v>
      </c>
      <c r="D184" s="26"/>
      <c r="E184" s="26"/>
      <c r="F184" s="26" t="e">
        <f>#REF!/#REF!*F187</f>
        <v>#REF!</v>
      </c>
      <c r="G184" s="26" t="s">
        <v>532</v>
      </c>
      <c r="H184" s="26"/>
      <c r="I184" s="26"/>
      <c r="J184" s="26"/>
      <c r="K184" s="26"/>
      <c r="L184" s="26"/>
      <c r="M184" s="26">
        <f t="shared" si="14"/>
        <v>10647.37583064381</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
      <c r="B185" s="26"/>
      <c r="C185" s="26"/>
      <c r="D185" s="26" t="s">
        <v>533</v>
      </c>
      <c r="E185" s="26"/>
      <c r="F185" s="26" t="e">
        <f>#REF!/#REF!*F187</f>
        <v>#REF!</v>
      </c>
      <c r="G185" s="26" t="s">
        <v>534</v>
      </c>
      <c r="H185" s="26"/>
      <c r="I185" s="26"/>
      <c r="J185" s="26"/>
      <c r="K185" s="26"/>
      <c r="L185" s="26"/>
      <c r="M185" s="26">
        <f t="shared" si="14"/>
        <v>11099.889303446173</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
      <c r="B186" s="26" t="s">
        <v>535</v>
      </c>
      <c r="C186" s="26" t="str">
        <f>C5</f>
        <v>ב"א</v>
      </c>
      <c r="D186" s="26"/>
      <c r="E186" s="26"/>
      <c r="F186" s="26" t="e">
        <f>#REF!/#REF!*F187</f>
        <v>#REF!</v>
      </c>
      <c r="G186" s="26" t="s">
        <v>536</v>
      </c>
      <c r="H186" s="26"/>
      <c r="I186" s="26"/>
      <c r="J186" s="26"/>
      <c r="K186" s="26"/>
      <c r="L186" s="26"/>
      <c r="M186" s="26">
        <f t="shared" si="14"/>
        <v>11552.402776248533</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
      <c r="B207" s="26"/>
      <c r="C207" s="26" t="s">
        <v>559</v>
      </c>
      <c r="D207" s="26"/>
      <c r="E207" s="26"/>
      <c r="F207" s="26">
        <v>0</v>
      </c>
      <c r="G207" s="26"/>
      <c r="H207" s="26"/>
      <c r="I207" s="26">
        <f t="shared" ref="I207:I223" si="16">L207</f>
        <v>1</v>
      </c>
      <c r="J207" s="26">
        <f>M170*0.95</f>
        <v>5985.0032656249996</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
      <c r="B208" s="26" t="s">
        <v>59</v>
      </c>
      <c r="C208" s="26" t="s">
        <v>560</v>
      </c>
      <c r="D208" s="26"/>
      <c r="E208" s="26"/>
      <c r="F208" s="26">
        <v>0</v>
      </c>
      <c r="G208" s="26"/>
      <c r="H208" s="26"/>
      <c r="I208" s="26">
        <f t="shared" si="16"/>
        <v>1.5</v>
      </c>
      <c r="J208" s="26">
        <f t="shared" ref="J208:J223" si="17">M171*0.95</f>
        <v>6209.4408880859373</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
      <c r="B209" s="26"/>
      <c r="C209" s="26"/>
      <c r="D209" s="26"/>
      <c r="E209" s="26"/>
      <c r="F209" s="26">
        <v>0</v>
      </c>
      <c r="G209" s="26"/>
      <c r="H209" s="26"/>
      <c r="I209" s="26">
        <f t="shared" si="16"/>
        <v>2</v>
      </c>
      <c r="J209" s="26">
        <f t="shared" si="17"/>
        <v>6433.8785105468742</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
      <c r="B210" s="26"/>
      <c r="C210" s="26"/>
      <c r="D210" s="26"/>
      <c r="E210" s="26"/>
      <c r="F210" s="26">
        <f>BG73</f>
        <v>0</v>
      </c>
      <c r="G210" s="26"/>
      <c r="H210" s="26"/>
      <c r="I210" s="26">
        <f t="shared" si="16"/>
        <v>2.5</v>
      </c>
      <c r="J210" s="26">
        <f t="shared" si="17"/>
        <v>6675.1489546923822</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
      <c r="B211" s="26"/>
      <c r="C211" s="26"/>
      <c r="D211" s="26"/>
      <c r="E211" s="26"/>
      <c r="F211" s="26">
        <f>IF(BG65=X6,0,IF(BG65=X7,10%*P96,IF(BG65=X8,20%*P96,IF(BG65=X9,11.5%*P96,6%*P96))))</f>
        <v>0</v>
      </c>
      <c r="G211" s="26" t="s">
        <v>59</v>
      </c>
      <c r="H211" s="26"/>
      <c r="I211" s="26">
        <f t="shared" si="16"/>
        <v>3</v>
      </c>
      <c r="J211" s="26">
        <f t="shared" si="17"/>
        <v>6916.4193988378893</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
      <c r="B212" s="26"/>
      <c r="C212" s="26"/>
      <c r="D212" s="26"/>
      <c r="E212" s="26"/>
      <c r="F212" s="26">
        <f>BG66</f>
        <v>0</v>
      </c>
      <c r="G212" s="26"/>
      <c r="H212" s="26"/>
      <c r="I212" s="26">
        <f t="shared" si="16"/>
        <v>3.5</v>
      </c>
      <c r="J212" s="26">
        <f t="shared" si="17"/>
        <v>7175.7851262943104</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
      <c r="B213" s="26"/>
      <c r="C213" s="26"/>
      <c r="D213" s="26"/>
      <c r="E213" s="26"/>
      <c r="F213" s="26">
        <f>AD11*P96</f>
        <v>0</v>
      </c>
      <c r="G213" s="26"/>
      <c r="H213" s="26"/>
      <c r="I213" s="26">
        <f t="shared" si="16"/>
        <v>4</v>
      </c>
      <c r="J213" s="26">
        <f t="shared" si="17"/>
        <v>7435.1508537507298</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
      <c r="B214" s="26" t="s">
        <v>545</v>
      </c>
      <c r="C214" s="26"/>
      <c r="D214" s="26"/>
      <c r="E214" s="26"/>
      <c r="F214" s="26" t="e">
        <f>SUM(F205:F208)*BG68</f>
        <v>#REF!</v>
      </c>
      <c r="G214" s="26"/>
      <c r="H214" s="26"/>
      <c r="I214" s="26">
        <f t="shared" si="16"/>
        <v>4.5</v>
      </c>
      <c r="J214" s="26">
        <f t="shared" si="17"/>
        <v>7713.9690107663837</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
      <c r="B215" s="26"/>
      <c r="C215" s="26"/>
      <c r="D215" s="26"/>
      <c r="E215" s="26"/>
      <c r="F215" s="26" t="e">
        <f>J187*F214</f>
        <v>#REF!</v>
      </c>
      <c r="G215" s="26" t="s">
        <v>59</v>
      </c>
      <c r="H215" s="26"/>
      <c r="I215" s="26">
        <f t="shared" si="16"/>
        <v>5</v>
      </c>
      <c r="J215" s="26">
        <f t="shared" si="17"/>
        <v>7992.7871677820349</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
      <c r="B216" s="26"/>
      <c r="C216" s="26"/>
      <c r="D216" s="26"/>
      <c r="E216" s="26"/>
      <c r="F216" s="26" t="e">
        <f>J188*F205</f>
        <v>#REF!</v>
      </c>
      <c r="G216" s="26"/>
      <c r="H216" s="26"/>
      <c r="I216" s="26">
        <f t="shared" si="16"/>
        <v>5.5</v>
      </c>
      <c r="J216" s="26">
        <f t="shared" si="17"/>
        <v>8292.5166865738611</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
      <c r="B217" s="26"/>
      <c r="C217" s="26"/>
      <c r="D217" s="26"/>
      <c r="E217" s="26"/>
      <c r="F217" s="26" t="e">
        <f>SUM(F205:F208)*AB29</f>
        <v>#REF!</v>
      </c>
      <c r="G217" s="26"/>
      <c r="H217" s="26"/>
      <c r="I217" s="26">
        <f t="shared" si="16"/>
        <v>6</v>
      </c>
      <c r="J217" s="26">
        <f t="shared" si="17"/>
        <v>8592.2462053656873</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
      <c r="B218" s="26"/>
      <c r="C218" s="26"/>
      <c r="D218" s="26"/>
      <c r="E218" s="26"/>
      <c r="F218" s="26" t="e">
        <f>F205*BG72</f>
        <v>#REF!</v>
      </c>
      <c r="G218" s="26"/>
      <c r="H218" s="26"/>
      <c r="I218" s="26">
        <f t="shared" si="16"/>
        <v>6.5</v>
      </c>
      <c r="J218" s="26">
        <f t="shared" si="17"/>
        <v>8957.4166690937291</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
      <c r="B219" s="26"/>
      <c r="C219" s="26"/>
      <c r="D219" s="26"/>
      <c r="E219" s="26"/>
      <c r="F219" s="26" t="e">
        <f>SUM(F205:F208)*BG64</f>
        <v>#REF!</v>
      </c>
      <c r="G219" s="26"/>
      <c r="H219" s="26"/>
      <c r="I219" s="26">
        <f t="shared" si="16"/>
        <v>7</v>
      </c>
      <c r="J219" s="26">
        <f t="shared" si="17"/>
        <v>9322.5871328217709</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
      <c r="B220" s="26"/>
      <c r="C220" s="26"/>
      <c r="D220" s="26"/>
      <c r="E220" s="26"/>
      <c r="F220" s="26">
        <v>0</v>
      </c>
      <c r="G220" s="26" t="s">
        <v>561</v>
      </c>
      <c r="H220" s="26"/>
      <c r="I220" s="26">
        <f t="shared" si="16"/>
        <v>7.5</v>
      </c>
      <c r="J220" s="26">
        <f t="shared" si="17"/>
        <v>9718.7970859666948</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
      <c r="B221" s="26"/>
      <c r="C221" s="26"/>
      <c r="D221" s="26"/>
      <c r="E221" s="26"/>
      <c r="F221" s="26">
        <v>0</v>
      </c>
      <c r="G221" s="26" t="s">
        <v>562</v>
      </c>
      <c r="H221" s="26"/>
      <c r="I221" s="26">
        <f t="shared" si="16"/>
        <v>8</v>
      </c>
      <c r="J221" s="26">
        <f t="shared" si="17"/>
        <v>10115.007039111619</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
      <c r="B222" s="26"/>
      <c r="C222" s="26" t="str">
        <f>BF73</f>
        <v>תוספת ערבה</v>
      </c>
      <c r="D222" s="26">
        <f>AB39</f>
        <v>0</v>
      </c>
      <c r="E222" s="26"/>
      <c r="F222" s="26" t="e">
        <f>SUM(F205:F221)</f>
        <v>#REF!</v>
      </c>
      <c r="G222" s="26"/>
      <c r="H222" s="26"/>
      <c r="I222" s="26">
        <f t="shared" si="16"/>
        <v>8.5</v>
      </c>
      <c r="J222" s="26">
        <f t="shared" si="17"/>
        <v>10544.894838273864</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
      <c r="B223" s="26"/>
      <c r="C223" s="26"/>
      <c r="D223" s="26"/>
      <c r="E223" s="26"/>
      <c r="F223" s="26"/>
      <c r="G223" s="26"/>
      <c r="H223" s="26"/>
      <c r="I223" s="26">
        <f t="shared" si="16"/>
        <v>9</v>
      </c>
      <c r="J223" s="26">
        <f t="shared" si="17"/>
        <v>10974.782637436107</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
      <c r="G710" s="26"/>
      <c r="H710" s="26"/>
      <c r="I710" s="26"/>
      <c r="J710" s="26"/>
      <c r="K710" s="26"/>
      <c r="L710" s="26"/>
      <c r="M710" s="26"/>
      <c r="N710" s="26"/>
      <c r="O710" s="26">
        <f ca="1">ROUND((I775-AL723)/365.25,2)</f>
        <v>65.84</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
      <c r="G711" s="26"/>
      <c r="H711" s="26"/>
      <c r="I711" s="26"/>
      <c r="J711" s="26"/>
      <c r="K711" s="26"/>
      <c r="L711" s="26"/>
      <c r="M711" s="26"/>
      <c r="N711" s="26"/>
      <c r="O711" s="26">
        <f ca="1">IF(BB769=CB719,59-O710,60-O710)</f>
        <v>-5.8400000000000034</v>
      </c>
      <c r="P711" s="26" t="s">
        <v>96</v>
      </c>
      <c r="Q711" s="26">
        <f ca="1">Q710+O711</f>
        <v>-5.4800000000000031</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
      <c r="G712" s="26"/>
      <c r="H712" s="26"/>
      <c r="I712" s="26"/>
      <c r="J712" s="26"/>
      <c r="K712" s="26"/>
      <c r="L712" s="26"/>
      <c r="M712" s="26"/>
      <c r="N712" s="26"/>
      <c r="O712" s="26">
        <f ca="1">IF(AD738+O711&gt;36,36,AD738+O711)</f>
        <v>27.159999999999997</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20</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
      <c r="G738" s="26"/>
      <c r="H738" s="26"/>
      <c r="I738" s="26"/>
      <c r="J738" s="26"/>
      <c r="K738" s="26"/>
      <c r="L738" s="26"/>
      <c r="M738" s="26" t="s">
        <v>54</v>
      </c>
      <c r="N738" s="26">
        <f ca="1">ROUND((I775-AT720)/365.25,2)</f>
        <v>13.33</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20</v>
      </c>
      <c r="AE739" s="26"/>
      <c r="AF739" s="26"/>
      <c r="AG739" s="26"/>
      <c r="AH739" s="26">
        <v>40209</v>
      </c>
      <c r="AI739" s="26"/>
      <c r="AJ739" s="26"/>
      <c r="AK739" s="26"/>
      <c r="AL739" s="26"/>
      <c r="AM739" s="26"/>
      <c r="AN739" s="26">
        <v>15</v>
      </c>
      <c r="AO739" s="26">
        <v>36</v>
      </c>
      <c r="AP739" s="26"/>
      <c r="AQ739" s="26"/>
      <c r="AR739" s="26" t="s">
        <v>305</v>
      </c>
      <c r="AS739" s="26"/>
      <c r="AT739" s="26">
        <f ca="1">IF(MONTH(I775)=1,1,0)</f>
        <v>1</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45292</v>
      </c>
      <c r="AK741" s="26">
        <f ca="1">ROUND((AJ741-AL732)/365.25,2)</f>
        <v>45.33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-13</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
      <c r="G775" s="26"/>
      <c r="H775" s="26" t="s">
        <v>575</v>
      </c>
      <c r="I775" s="26">
        <f ca="1">TODAY()</f>
        <v>45310</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
      <c r="G887" s="26"/>
      <c r="H887" s="26"/>
      <c r="I887" s="26"/>
      <c r="J887" s="26"/>
      <c r="K887" s="26">
        <f ca="1">(F927-O710)*2.4%</f>
        <v>-0.31128000000000017</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
      <c r="G888" s="26"/>
      <c r="H888" s="26">
        <f ca="1">DATE(YEAR(I775),MONTH(I775)-MONTH(I775)+1,DAY(I775)-DAY(I775)+1)</f>
        <v>45292</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5" thickBot="1" x14ac:dyDescent="0.2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6.5" thickTop="1" thickBot="1" x14ac:dyDescent="0.3">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5.75" thickTop="1" x14ac:dyDescent="0.25">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5" thickBot="1" x14ac:dyDescent="0.3">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5" thickBot="1" x14ac:dyDescent="0.3">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7" thickTop="1" x14ac:dyDescent="0.4">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5" thickBot="1" x14ac:dyDescent="0.2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6.5" thickTop="1" thickBot="1" x14ac:dyDescent="0.3">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5.75" thickTop="1" x14ac:dyDescent="0.25">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ht="15" x14ac:dyDescent="0.25">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5" thickBot="1" x14ac:dyDescent="0.2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75" thickTop="1" thickBot="1" x14ac:dyDescent="0.2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75" thickTop="1" thickBot="1" x14ac:dyDescent="0.2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7.25" thickTop="1" thickBot="1" x14ac:dyDescent="0.3">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7.25" thickTop="1" thickBot="1" x14ac:dyDescent="0.3">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5" thickTop="1" thickBot="1" x14ac:dyDescent="0.3">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6.5" thickTop="1" thickBot="1" x14ac:dyDescent="0.3">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ht="15" x14ac:dyDescent="0.25">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5.75" thickBot="1" x14ac:dyDescent="0.3">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5.75" thickTop="1" x14ac:dyDescent="0.25">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5" thickBot="1" x14ac:dyDescent="0.2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5.75" thickTop="1" x14ac:dyDescent="0.25">
      <c r="B919" s="76"/>
      <c r="C919" s="130" t="s">
        <v>559</v>
      </c>
      <c r="D919" s="107"/>
      <c r="E919" s="131"/>
      <c r="G919" s="26">
        <f ca="1">N738</f>
        <v>13.33</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75" x14ac:dyDescent="0.2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5" thickBot="1" x14ac:dyDescent="0.3">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5" thickTop="1" thickBot="1" x14ac:dyDescent="0.3">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75" thickTop="1" thickBot="1" x14ac:dyDescent="0.2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6.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5" thickTop="1" x14ac:dyDescent="0.2">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5" thickBot="1" x14ac:dyDescent="0.2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75" thickTop="1" thickBot="1" x14ac:dyDescent="0.2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6.5" thickTop="1" thickBot="1" x14ac:dyDescent="0.3">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5" thickTop="1" thickBot="1" x14ac:dyDescent="0.3">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7.25" thickTop="1" thickBot="1" x14ac:dyDescent="0.3">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5" thickTop="1" x14ac:dyDescent="0.2">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5" thickBot="1" x14ac:dyDescent="0.2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6.5" thickTop="1" thickBot="1" x14ac:dyDescent="0.3">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5" thickTop="1" x14ac:dyDescent="0.2">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5" thickBot="1" x14ac:dyDescent="0.2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6.5" thickTop="1" thickBot="1" x14ac:dyDescent="0.3">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75" thickTop="1" thickBot="1" x14ac:dyDescent="0.2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5" thickTop="1" x14ac:dyDescent="0.2">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5" thickBot="1" x14ac:dyDescent="0.2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75" thickTop="1" thickBot="1" x14ac:dyDescent="0.2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6.5" thickTop="1" thickBot="1" x14ac:dyDescent="0.3">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5" thickTop="1" x14ac:dyDescent="0.2">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75" thickBot="1" x14ac:dyDescent="0.3">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6.5" thickTop="1" thickBot="1" x14ac:dyDescent="0.3">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5" thickTop="1" x14ac:dyDescent="0.2">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75" x14ac:dyDescent="0.2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B2">
    <cfRule type="expression" dxfId="91" priority="37" stopIfTrue="1">
      <formula>$AB$17=AE44</formula>
    </cfRule>
  </conditionalFormatting>
  <conditionalFormatting sqref="B905 E905">
    <cfRule type="expression" dxfId="90" priority="41" stopIfTrue="1">
      <formula>$AF$707=Z754</formula>
    </cfRule>
  </conditionalFormatting>
  <conditionalFormatting sqref="B35:C35">
    <cfRule type="expression" dxfId="89" priority="10" stopIfTrue="1">
      <formula>$C$19=$F$18</formula>
    </cfRule>
  </conditionalFormatting>
  <conditionalFormatting sqref="B906:E906 B910:E910">
    <cfRule type="expression" dxfId="88" priority="86" stopIfTrue="1">
      <formula>$W$742=$S$735</formula>
    </cfRule>
  </conditionalFormatting>
  <conditionalFormatting sqref="B912:E913">
    <cfRule type="expression" dxfId="87" priority="85" stopIfTrue="1">
      <formula>$E$913=0</formula>
    </cfRule>
  </conditionalFormatting>
  <conditionalFormatting sqref="B27:F33">
    <cfRule type="expression" dxfId="86" priority="14" stopIfTrue="1">
      <formula>$C$19=$F$18</formula>
    </cfRule>
  </conditionalFormatting>
  <conditionalFormatting sqref="B917:F918">
    <cfRule type="expression" dxfId="85" priority="47" stopIfTrue="1">
      <formula>#REF!=0</formula>
    </cfRule>
    <cfRule type="expression" dxfId="84" priority="48" stopIfTrue="1">
      <formula>#REF!=0</formula>
    </cfRule>
  </conditionalFormatting>
  <conditionalFormatting sqref="C905">
    <cfRule type="expression" dxfId="83" priority="43" stopIfTrue="1">
      <formula>$AF$707=AC754</formula>
    </cfRule>
  </conditionalFormatting>
  <conditionalFormatting sqref="C24:E24 C28:E28">
    <cfRule type="expression" dxfId="82" priority="8" stopIfTrue="1">
      <formula>$C$10="א-ו"</formula>
    </cfRule>
    <cfRule type="expression" dxfId="81" priority="6" stopIfTrue="1">
      <formula>$C$10="חטיבת ביניים"</formula>
    </cfRule>
    <cfRule type="expression" dxfId="80" priority="7" stopIfTrue="1">
      <formula>$C$10="ז-ח"</formula>
    </cfRule>
  </conditionalFormatting>
  <conditionalFormatting sqref="C919:E920">
    <cfRule type="expression" dxfId="79" priority="49" stopIfTrue="1">
      <formula>$E$913=0</formula>
    </cfRule>
  </conditionalFormatting>
  <conditionalFormatting sqref="C24:F24 C23:E23 B25:F26">
    <cfRule type="expression" dxfId="78" priority="15" stopIfTrue="1">
      <formula>$C$19=$F$19</formula>
    </cfRule>
  </conditionalFormatting>
  <conditionalFormatting sqref="C915:F916">
    <cfRule type="expression" dxfId="77" priority="83" stopIfTrue="1">
      <formula>$F$915=0</formula>
    </cfRule>
  </conditionalFormatting>
  <conditionalFormatting sqref="D905">
    <cfRule type="expression" dxfId="76" priority="42" stopIfTrue="1">
      <formula>$AF$707=AC754</formula>
    </cfRule>
  </conditionalFormatting>
  <conditionalFormatting sqref="E930:E945">
    <cfRule type="cellIs" dxfId="75" priority="90" stopIfTrue="1" operator="equal">
      <formula>0</formula>
    </cfRule>
  </conditionalFormatting>
  <conditionalFormatting sqref="E968:E969">
    <cfRule type="expression" dxfId="74" priority="88" stopIfTrue="1">
      <formula>$E$969&lt;0</formula>
    </cfRule>
  </conditionalFormatting>
  <conditionalFormatting sqref="E972:E974 D974">
    <cfRule type="expression" dxfId="73" priority="87" stopIfTrue="1">
      <formula>$E$974&lt;=0</formula>
    </cfRule>
  </conditionalFormatting>
  <conditionalFormatting sqref="E903:F903 F958:F959">
    <cfRule type="expression" dxfId="72" priority="46" stopIfTrue="1">
      <formula>$F$905&gt;67</formula>
    </cfRule>
  </conditionalFormatting>
  <conditionalFormatting sqref="E904:F904">
    <cfRule type="expression" dxfId="71" priority="56" stopIfTrue="1">
      <formula>$F$904&lt;64</formula>
    </cfRule>
  </conditionalFormatting>
  <conditionalFormatting sqref="F24">
    <cfRule type="expression" dxfId="70" priority="19" stopIfTrue="1">
      <formula>$C$39=0</formula>
    </cfRule>
  </conditionalFormatting>
  <conditionalFormatting sqref="F28">
    <cfRule type="expression" dxfId="69" priority="18" stopIfTrue="1">
      <formula>$C$39=0</formula>
    </cfRule>
  </conditionalFormatting>
  <conditionalFormatting sqref="F30">
    <cfRule type="expression" dxfId="68" priority="17" stopIfTrue="1">
      <formula>$C$39=0</formula>
    </cfRule>
  </conditionalFormatting>
  <conditionalFormatting sqref="F33">
    <cfRule type="expression" dxfId="67" priority="16" stopIfTrue="1">
      <formula>$C$39=0</formula>
    </cfRule>
  </conditionalFormatting>
  <conditionalFormatting sqref="F905">
    <cfRule type="expression" dxfId="66" priority="39" stopIfTrue="1">
      <formula>$AF$707=AC754</formula>
    </cfRule>
  </conditionalFormatting>
  <conditionalFormatting sqref="F907">
    <cfRule type="expression" dxfId="65" priority="62" stopIfTrue="1">
      <formula>$BB$786=0</formula>
    </cfRule>
  </conditionalFormatting>
  <conditionalFormatting sqref="G901 E902:F902">
    <cfRule type="expression" dxfId="64" priority="53" stopIfTrue="1">
      <formula>$W$742=$S$735</formula>
    </cfRule>
  </conditionalFormatting>
  <conditionalFormatting sqref="G904">
    <cfRule type="expression" dxfId="63" priority="40" stopIfTrue="1">
      <formula>$AF$707=AC754</formula>
    </cfRule>
  </conditionalFormatting>
  <conditionalFormatting sqref="G906">
    <cfRule type="expression" dxfId="62" priority="61" stopIfTrue="1">
      <formula>$G$906=0</formula>
    </cfRule>
  </conditionalFormatting>
  <conditionalFormatting sqref="G909 F910">
    <cfRule type="expression" dxfId="61" priority="52" stopIfTrue="1">
      <formula>$W$742=$S$735</formula>
    </cfRule>
  </conditionalFormatting>
  <conditionalFormatting sqref="G911 F912">
    <cfRule type="expression" dxfId="60" priority="54" stopIfTrue="1">
      <formula>$W$742=$S$735</formula>
    </cfRule>
  </conditionalFormatting>
  <conditionalFormatting sqref="G25:H25">
    <cfRule type="expression" dxfId="59" priority="5" stopIfTrue="1">
      <formula>$C$39=0</formula>
    </cfRule>
  </conditionalFormatting>
  <conditionalFormatting sqref="H21:H22 H23:I23 H24 H26:H30 I26:I32 I34">
    <cfRule type="expression" dxfId="58" priority="31" stopIfTrue="1">
      <formula>$C$39=0</formula>
    </cfRule>
  </conditionalFormatting>
  <conditionalFormatting sqref="H778">
    <cfRule type="expression" dxfId="57" priority="35" stopIfTrue="1">
      <formula>$C$59=0</formula>
    </cfRule>
    <cfRule type="expression" dxfId="56" priority="34" stopIfTrue="1">
      <formula>$C$59=1</formula>
    </cfRule>
  </conditionalFormatting>
  <conditionalFormatting sqref="H779:H791 Z810:Z827 I29:I31 N754 H797 X810:Y820 X821:X823 X824:Y825 X826:X827">
    <cfRule type="expression" dxfId="55" priority="45" stopIfTrue="1">
      <formula>$C$59=0</formula>
    </cfRule>
  </conditionalFormatting>
  <conditionalFormatting sqref="H779:H796 Z810:Z827">
    <cfRule type="expression" dxfId="54" priority="36" stopIfTrue="1">
      <formula>$C$54=1</formula>
    </cfRule>
  </conditionalFormatting>
  <conditionalFormatting sqref="H792:H796">
    <cfRule type="expression" dxfId="53" priority="33" stopIfTrue="1">
      <formula>$C$58=0</formula>
    </cfRule>
  </conditionalFormatting>
  <conditionalFormatting sqref="H867">
    <cfRule type="expression" dxfId="52" priority="38" stopIfTrue="1">
      <formula>$AF$707=AC754</formula>
    </cfRule>
  </conditionalFormatting>
  <conditionalFormatting sqref="H868:H870 G905 F906">
    <cfRule type="expression" dxfId="51" priority="63" stopIfTrue="1">
      <formula>$V$745&gt;0</formula>
    </cfRule>
  </conditionalFormatting>
  <conditionalFormatting sqref="H871">
    <cfRule type="expression" dxfId="50" priority="30" stopIfTrue="1">
      <formula>ROUND($H$871,2)=ROUND($G$908,2)</formula>
    </cfRule>
  </conditionalFormatting>
  <conditionalFormatting sqref="H873 G910 F911">
    <cfRule type="expression" dxfId="49" priority="32" stopIfTrue="1">
      <formula>$E$110&lt;&gt;0</formula>
    </cfRule>
  </conditionalFormatting>
  <conditionalFormatting sqref="H876 G913 F914">
    <cfRule type="expression" dxfId="48" priority="55" stopIfTrue="1">
      <formula>$W$742=$S$735</formula>
    </cfRule>
  </conditionalFormatting>
  <conditionalFormatting sqref="H879 G916 H924:H925">
    <cfRule type="expression" dxfId="47" priority="81" stopIfTrue="1">
      <formula>$Z$717&lt;100%</formula>
    </cfRule>
  </conditionalFormatting>
  <conditionalFormatting sqref="J21:J28 J30">
    <cfRule type="expression" dxfId="46" priority="2" stopIfTrue="1">
      <formula>$C$9=1</formula>
    </cfRule>
  </conditionalFormatting>
  <conditionalFormatting sqref="J21:J32">
    <cfRule type="expression" dxfId="45" priority="3" stopIfTrue="1">
      <formula>$C$39=0</formula>
    </cfRule>
  </conditionalFormatting>
  <conditionalFormatting sqref="J29">
    <cfRule type="expression" dxfId="44" priority="1" stopIfTrue="1">
      <formula>$C$59=0</formula>
    </cfRule>
  </conditionalFormatting>
  <conditionalFormatting sqref="J877 J879 J881 H887:I887 H888 I889 I891 G925 F926">
    <cfRule type="expression" dxfId="43" priority="79" stopIfTrue="1">
      <formula>$R$718=1</formula>
    </cfRule>
  </conditionalFormatting>
  <conditionalFormatting sqref="K118:K125 J126:K135">
    <cfRule type="expression" dxfId="42" priority="26" stopIfTrue="1">
      <formula>$Q$2=$M81</formula>
    </cfRule>
    <cfRule type="expression" dxfId="41" priority="25" stopIfTrue="1">
      <formula>$CC$12&lt;&gt;$C$5</formula>
    </cfRule>
    <cfRule type="expression" dxfId="40" priority="27" stopIfTrue="1">
      <formula>$C$39=0</formula>
    </cfRule>
  </conditionalFormatting>
  <conditionalFormatting sqref="K781">
    <cfRule type="expression" dxfId="39" priority="77" stopIfTrue="1">
      <formula>$L$781=0</formula>
    </cfRule>
  </conditionalFormatting>
  <conditionalFormatting sqref="K785">
    <cfRule type="expression" dxfId="38" priority="66" stopIfTrue="1">
      <formula>$S$705=0</formula>
    </cfRule>
  </conditionalFormatting>
  <conditionalFormatting sqref="K786">
    <cfRule type="expression" dxfId="37" priority="67" stopIfTrue="1">
      <formula>#REF!=0</formula>
    </cfRule>
  </conditionalFormatting>
  <conditionalFormatting sqref="K787">
    <cfRule type="expression" dxfId="36" priority="65" stopIfTrue="1">
      <formula>$S$706=0</formula>
    </cfRule>
  </conditionalFormatting>
  <conditionalFormatting sqref="K788">
    <cfRule type="expression" dxfId="35" priority="68" stopIfTrue="1">
      <formula>#REF!=0</formula>
    </cfRule>
  </conditionalFormatting>
  <conditionalFormatting sqref="K789">
    <cfRule type="expression" dxfId="34" priority="50" stopIfTrue="1">
      <formula>$BB$774=0</formula>
    </cfRule>
  </conditionalFormatting>
  <conditionalFormatting sqref="K790">
    <cfRule type="expression" dxfId="33" priority="69" stopIfTrue="1">
      <formula>$BB$775=$S$709</formula>
    </cfRule>
  </conditionalFormatting>
  <conditionalFormatting sqref="K792">
    <cfRule type="expression" dxfId="32" priority="51" stopIfTrue="1">
      <formula>$BB$776=0</formula>
    </cfRule>
  </conditionalFormatting>
  <conditionalFormatting sqref="K793">
    <cfRule type="expression" dxfId="31" priority="70" stopIfTrue="1">
      <formula>$Y$714=0</formula>
    </cfRule>
  </conditionalFormatting>
  <conditionalFormatting sqref="K794">
    <cfRule type="expression" dxfId="30" priority="72" stopIfTrue="1">
      <formula>$BB$778=0</formula>
    </cfRule>
  </conditionalFormatting>
  <conditionalFormatting sqref="K795:K802">
    <cfRule type="expression" dxfId="29" priority="64" stopIfTrue="1">
      <formula>$AW$722=0</formula>
    </cfRule>
  </conditionalFormatting>
  <conditionalFormatting sqref="K803">
    <cfRule type="expression" dxfId="28" priority="74" stopIfTrue="1">
      <formula>$W$719=0</formula>
    </cfRule>
  </conditionalFormatting>
  <conditionalFormatting sqref="K804">
    <cfRule type="expression" dxfId="27" priority="73" stopIfTrue="1">
      <formula>$W$739=0</formula>
    </cfRule>
  </conditionalFormatting>
  <conditionalFormatting sqref="K806">
    <cfRule type="expression" dxfId="26" priority="80" stopIfTrue="1">
      <formula>$BB$783=0</formula>
    </cfRule>
  </conditionalFormatting>
  <conditionalFormatting sqref="L205:L223 I206:J206 I207:I223">
    <cfRule type="expression" dxfId="25" priority="29" stopIfTrue="1">
      <formula>$C$39=0</formula>
    </cfRule>
    <cfRule type="expression" dxfId="24" priority="28" stopIfTrue="1">
      <formula>$Q$2=$M168</formula>
    </cfRule>
  </conditionalFormatting>
  <conditionalFormatting sqref="L777 G956 F957">
    <cfRule type="expression" dxfId="23" priority="89" stopIfTrue="1">
      <formula>$E$110&gt;0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R779 E901">
    <cfRule type="expression" dxfId="20" priority="93" stopIfTrue="1">
      <formula>$G$906&lt;&gt;0</formula>
    </cfRule>
  </conditionalFormatting>
  <conditionalFormatting sqref="S27:S34">
    <cfRule type="expression" dxfId="19" priority="11" stopIfTrue="1">
      <formula>$C$39=0</formula>
    </cfRule>
    <cfRule type="expression" dxfId="18" priority="9" stopIfTrue="1">
      <formula>$C$9=1</formula>
    </cfRule>
  </conditionalFormatting>
  <conditionalFormatting sqref="S720">
    <cfRule type="expression" dxfId="17" priority="71" stopIfTrue="1">
      <formula>#REF!=0</formula>
    </cfRule>
  </conditionalFormatting>
  <conditionalFormatting sqref="S747">
    <cfRule type="expression" dxfId="16" priority="76" stopIfTrue="1">
      <formula>$T$747=0</formula>
    </cfRule>
  </conditionalFormatting>
  <conditionalFormatting sqref="S757">
    <cfRule type="cellIs" dxfId="15" priority="57" stopIfTrue="1" operator="greaterThan">
      <formula>0</formula>
    </cfRule>
  </conditionalFormatting>
  <conditionalFormatting sqref="S60:AC60 Q61:AC106">
    <cfRule type="expression" dxfId="14" priority="22" stopIfTrue="1">
      <formula>$C$39=0</formula>
    </cfRule>
    <cfRule type="expression" dxfId="13" priority="21" stopIfTrue="1">
      <formula>$Q$2=$M94</formula>
    </cfRule>
  </conditionalFormatting>
  <conditionalFormatting sqref="T720 T747 L785:L790 L792:L806">
    <cfRule type="cellIs" dxfId="12" priority="75" stopIfTrue="1" operator="equal">
      <formula>0</formula>
    </cfRule>
  </conditionalFormatting>
  <conditionalFormatting sqref="T745:W745 C900:D900">
    <cfRule type="expression" dxfId="11" priority="84" stopIfTrue="1">
      <formula>$W$742=$S$735</formula>
    </cfRule>
  </conditionalFormatting>
  <conditionalFormatting sqref="T746:W746 S834:S860 H878 G915">
    <cfRule type="expression" dxfId="10" priority="82" stopIfTrue="1">
      <formula>$V$745&lt;=0</formula>
    </cfRule>
  </conditionalFormatting>
  <conditionalFormatting sqref="V732">
    <cfRule type="expression" dxfId="9" priority="44" stopIfTrue="1">
      <formula>$AF$707=AC754</formula>
    </cfRule>
  </conditionalFormatting>
  <conditionalFormatting sqref="V756:Y756">
    <cfRule type="expression" dxfId="8" priority="60" stopIfTrue="1">
      <formula>#REF!=0</formula>
    </cfRule>
  </conditionalFormatting>
  <conditionalFormatting sqref="Y722">
    <cfRule type="expression" dxfId="7" priority="59" stopIfTrue="1">
      <formula>AND(#REF!&lt;#REF!,#REF!&lt;#REF!)</formula>
    </cfRule>
  </conditionalFormatting>
  <conditionalFormatting sqref="Y723">
    <cfRule type="expression" dxfId="6" priority="58" stopIfTrue="1">
      <formula>AND(#REF!&lt;#REF!,#REF!&lt;#REF!)</formula>
    </cfRule>
  </conditionalFormatting>
  <conditionalFormatting sqref="Y724:Y725 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ר. אנשין מורשת ירושלים</cp:lastModifiedBy>
  <cp:lastPrinted>2023-09-05T13:48:47Z</cp:lastPrinted>
  <dcterms:created xsi:type="dcterms:W3CDTF">2023-09-05T11:53:22Z</dcterms:created>
  <dcterms:modified xsi:type="dcterms:W3CDTF">2024-01-18T23:39:24Z</dcterms:modified>
</cp:coreProperties>
</file>