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AA\Desktop\"/>
    </mc:Choice>
  </mc:AlternateContent>
  <bookViews>
    <workbookView xWindow="-108" yWindow="-108" windowWidth="19416" windowHeight="10416"/>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9"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I902"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P92" i="3"/>
  <c r="Q92" i="3" s="1"/>
  <c r="O92" i="3"/>
  <c r="Q91" i="3"/>
  <c r="P91" i="3"/>
  <c r="O91" i="3"/>
  <c r="P90" i="3"/>
  <c r="Q90" i="3" s="1"/>
  <c r="O90" i="3"/>
  <c r="P89" i="3"/>
  <c r="Q89" i="3" s="1"/>
  <c r="O89" i="3"/>
  <c r="P88" i="3"/>
  <c r="Q88" i="3" s="1"/>
  <c r="O88" i="3"/>
  <c r="P87" i="3"/>
  <c r="Q87" i="3" s="1"/>
  <c r="O87" i="3"/>
  <c r="P86" i="3"/>
  <c r="Q86" i="3" s="1"/>
  <c r="O86" i="3"/>
  <c r="W80" i="3"/>
  <c r="W78" i="3"/>
  <c r="BF75" i="3"/>
  <c r="L75" i="3"/>
  <c r="K75" i="3"/>
  <c r="K77" i="3" s="1"/>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M49" i="3" s="1"/>
  <c r="BF46" i="3"/>
  <c r="AO46" i="3"/>
  <c r="AL46" i="3"/>
  <c r="P46" i="3"/>
  <c r="K46" i="3"/>
  <c r="K47" i="3" s="1"/>
  <c r="AL45" i="3"/>
  <c r="P45" i="3"/>
  <c r="BF44" i="3"/>
  <c r="AJ44" i="3"/>
  <c r="AE44" i="3"/>
  <c r="P44" i="3"/>
  <c r="AZ42" i="3"/>
  <c r="BA44" i="3" s="1"/>
  <c r="AO42" i="3"/>
  <c r="AB42" i="3"/>
  <c r="N42" i="3"/>
  <c r="M42" i="3"/>
  <c r="AO41" i="3"/>
  <c r="AF41" i="3"/>
  <c r="AF42" i="3" s="1"/>
  <c r="BL40" i="3"/>
  <c r="P40" i="3"/>
  <c r="Q40" i="3" s="1"/>
  <c r="R40" i="3" s="1"/>
  <c r="I40" i="3"/>
  <c r="I41" i="3" s="1"/>
  <c r="I42" i="3" s="1"/>
  <c r="I43" i="3" s="1"/>
  <c r="I44" i="3" s="1"/>
  <c r="I45" i="3" s="1"/>
  <c r="BL39" i="3"/>
  <c r="BL41" i="3" s="1"/>
  <c r="BL42" i="3" s="1"/>
  <c r="BJ39" i="3"/>
  <c r="AI39" i="3"/>
  <c r="AH39" i="3"/>
  <c r="AJ40" i="3" s="1"/>
  <c r="AI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V33" i="3"/>
  <c r="W33" i="3" s="1"/>
  <c r="T30" i="3" s="1"/>
  <c r="D135" i="3" s="1"/>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M20" i="3"/>
  <c r="BM26" i="3" s="1"/>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O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BM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F20" i="4"/>
  <c r="BF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F143" i="3" l="1"/>
  <c r="G145" i="3"/>
  <c r="G142" i="3" s="1"/>
  <c r="BN20" i="3"/>
  <c r="BN22" i="3" s="1"/>
  <c r="BN27" i="3" s="1"/>
  <c r="BU24" i="3"/>
  <c r="BU22" i="3"/>
  <c r="BU27" i="3" s="1"/>
  <c r="BU26" i="3"/>
  <c r="BL20" i="3"/>
  <c r="BJ20" i="3"/>
  <c r="BJ29" i="3" s="1"/>
  <c r="BI19" i="3"/>
  <c r="BF20" i="3"/>
  <c r="BF25" i="3" s="1"/>
  <c r="BS21" i="3"/>
  <c r="BS22" i="3" s="1"/>
  <c r="BS27" i="3" s="1"/>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6" i="3"/>
  <c r="BN24" i="3"/>
  <c r="BN23" i="3"/>
  <c r="BC27" i="3"/>
  <c r="Q8" i="3" s="1"/>
  <c r="I164" i="3"/>
  <c r="AW16" i="3"/>
  <c r="AW15" i="3" s="1"/>
  <c r="AV17" i="3" s="1"/>
  <c r="R5" i="3"/>
  <c r="R19" i="3" s="1"/>
  <c r="BU23" i="3"/>
  <c r="BU25" i="3"/>
  <c r="BK1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P24" i="3"/>
  <c r="BP26" i="3"/>
  <c r="AR719" i="3"/>
  <c r="AR718" i="3" s="1"/>
  <c r="AY720" i="3" s="1"/>
  <c r="G960" i="3"/>
  <c r="AV742" i="3"/>
  <c r="BP23" i="3"/>
  <c r="X22" i="3"/>
  <c r="BL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BL26" i="4"/>
  <c r="AI28" i="4"/>
  <c r="BM35" i="4"/>
  <c r="AW16" i="4"/>
  <c r="AW15" i="4" s="1"/>
  <c r="AV17" i="4" s="1"/>
  <c r="N81" i="4"/>
  <c r="M169" i="4" s="1"/>
  <c r="AB43" i="4"/>
  <c r="R19" i="4"/>
  <c r="V21" i="4"/>
  <c r="BM24" i="4"/>
  <c r="BM26" i="4"/>
  <c r="H779" i="4"/>
  <c r="H780" i="4"/>
  <c r="P107" i="4"/>
  <c r="J188" i="4" s="1"/>
  <c r="BM22" i="4"/>
  <c r="O24" i="4"/>
  <c r="BF25" i="4"/>
  <c r="BP25" i="4"/>
  <c r="BE26" i="4"/>
  <c r="BC27" i="4"/>
  <c r="AZ38" i="4" s="1"/>
  <c r="V32" i="4"/>
  <c r="W32" i="4" s="1"/>
  <c r="T29" i="4" s="1"/>
  <c r="D134" i="4" s="1"/>
  <c r="AY32" i="4"/>
  <c r="AY36" i="4" s="1"/>
  <c r="AY34" i="4" s="1"/>
  <c r="V33" i="4"/>
  <c r="W33" i="4" s="1"/>
  <c r="T30" i="4" s="1"/>
  <c r="D135" i="4" s="1"/>
  <c r="AI36" i="4"/>
  <c r="F205" i="4" s="1"/>
  <c r="R40" i="4"/>
  <c r="O37" i="4" s="1"/>
  <c r="BK19" i="4"/>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S23" i="3" l="1"/>
  <c r="Q19" i="4"/>
  <c r="W81" i="4" s="1"/>
  <c r="BS24" i="3"/>
  <c r="BE22" i="4"/>
  <c r="BE27" i="4" s="1"/>
  <c r="BE24" i="4"/>
  <c r="BE25" i="4"/>
  <c r="BN25" i="3"/>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BP28" i="3" s="1"/>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4" l="1"/>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66" i="4"/>
  <c r="M750" i="4"/>
  <c r="M757" i="4" s="1"/>
  <c r="M758" i="4" s="1"/>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9" i="3" l="1"/>
  <c r="M770" i="4"/>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L807" i="4"/>
  <c r="R792" i="3"/>
  <c r="L795" i="3"/>
  <c r="R793" i="3" s="1"/>
  <c r="L807" i="3"/>
  <c r="AW739" i="3" l="1"/>
  <c r="AQ717" i="3"/>
  <c r="R800" i="3"/>
  <c r="BE722" i="3"/>
  <c r="L781" i="3"/>
  <c r="K781" i="3" s="1"/>
  <c r="AE743" i="3"/>
  <c r="AW798" i="3" s="1"/>
  <c r="BK741" i="3" s="1"/>
  <c r="BH741" i="3" s="1"/>
  <c r="AQ717" i="4"/>
  <c r="BE722" i="4"/>
  <c r="L781" i="4"/>
  <c r="K781" i="4" s="1"/>
  <c r="AE743" i="4"/>
  <c r="AW798" i="4" s="1"/>
  <c r="BK741" i="4" s="1"/>
  <c r="BH741" i="4" s="1"/>
  <c r="R800" i="4"/>
  <c r="AW739" i="4"/>
  <c r="AX800" i="4" l="1"/>
  <c r="AW800" i="4" s="1"/>
  <c r="AX800" i="3"/>
  <c r="AW800" i="3"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<sst xmlns="http://schemas.openxmlformats.org/spreadsheetml/2006/main" count="2763" uniqueCount="611">
  <si>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</si>
  <si>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</si>
  <si>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</si>
  <si>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</si>
  <si>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</si>
  <si>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</si>
  <si>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</si>
  <si>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</si>
  <si>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</si>
  <si>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</si>
  <si>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</si>
  <si>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</si>
  <si>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</si>
  <si>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</si>
  <si>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</si>
  <si>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</si>
  <si>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</si>
  <si>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</si>
  <si>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</si>
  <si>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</si>
  <si>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</si>
  <si>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</si>
  <si>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</si>
  <si>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</si>
  <si>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</si>
  <si>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</si>
  <si>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</si>
  <si>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</si>
  <si>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</si>
  <si>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</si>
  <si>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</si>
  <si>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</si>
  <si>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</si>
  <si>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</si>
  <si>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</si>
  <si>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</si>
  <si>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</si>
  <si>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</si>
  <si>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</si>
  <si>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</si>
  <si>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</si>
  <si>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</si>
  <si>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</si>
  <si>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</si>
  <si>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</si>
  <si>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</si>
  <si>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</si>
  <si>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</si>
  <si>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</si>
  <si>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</si>
  <si>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</si>
  <si>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</si>
  <si>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</si>
  <si>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</si>
  <si>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</si>
  <si>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</si>
  <si>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</si>
  <si>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</si>
  <si>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</si>
  <si>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</si>
  <si>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</si>
  <si>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</si>
  <si>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</si>
  <si>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</si>
  <si>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</si>
  <si>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</si>
  <si>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</si>
  <si>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</si>
  <si>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</si>
  <si>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</si>
  <si>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</si>
  <si>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</si>
  <si>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</si>
  <si>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</si>
  <si>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</si>
  <si>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</si>
  <si>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</si>
  <si>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</si>
  <si>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</si>
  <si>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</si>
  <si>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</si>
  <si>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</si>
  <si>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</si>
  <si>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</si>
  <si>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</si>
  <si>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</si>
  <si>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</si>
  <si>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</si>
  <si>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</si>
  <si>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</si>
  <si>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</si>
  <si>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</si>
  <si>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</si>
  <si>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</si>
  <si>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</si>
  <si>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</si>
  <si>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</si>
  <si>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</si>
  <si>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</si>
  <si>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</si>
  <si>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</si>
  <si>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</si>
  <si>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</si>
  <si>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</si>
  <si>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</si>
  <si>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</si>
  <si>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</si>
  <si>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</si>
  <si>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</si>
  <si>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</si>
  <si>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</si>
  <si>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</si>
  <si>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</si>
  <si>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</si>
  <si>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</si>
  <si>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</si>
  <si>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</si>
  <si>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</si>
  <si>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</si>
  <si>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</si>
  <si>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</si>
  <si>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</si>
  <si>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</si>
  <si>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</si>
  <si>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</si>
  <si>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</si>
  <si>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</si>
  <si>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</si>
  <si>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</si>
  <si>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</si>
  <si>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</si>
  <si>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</si>
  <si>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</si>
  <si>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</si>
  <si>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</si>
  <si>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</si>
  <si>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</si>
  <si>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</si>
  <si>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</si>
  <si>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</si>
  <si>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</si>
  <si>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</si>
  <si>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</si>
  <si>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</si>
  <si>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</si>
  <si>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</si>
  <si>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</si>
  <si>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</si>
  <si>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</si>
  <si>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</si>
  <si>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</si>
  <si>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</si>
  <si>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</si>
  <si>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</si>
  <si>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</si>
  <si>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</si>
  <si>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</si>
  <si>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</si>
  <si>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</si>
  <si>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</si>
  <si>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</si>
  <si>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</si>
  <si>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</si>
  <si>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</si>
  <si>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</si>
  <si>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</si>
  <si>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</si>
  <si>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</si>
  <si>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</si>
  <si>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</si>
  <si>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</si>
  <si>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</si>
  <si>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</si>
  <si>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</si>
  <si>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</si>
  <si>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</si>
  <si>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</si>
  <si>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</si>
  <si>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</si>
  <si>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</si>
  <si>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</si>
  <si>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</si>
  <si>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</si>
  <si>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</si>
  <si>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</si>
  <si>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</si>
  <si>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</si>
  <si>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</si>
  <si>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</si>
  <si>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</si>
  <si>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</si>
  <si>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</si>
  <si>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</si>
  <si>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</si>
  <si>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</si>
  <si>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</si>
  <si>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</si>
  <si>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</si>
  <si>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</si>
  <si>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</si>
  <si>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</si>
  <si>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</si>
  <si>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</si>
  <si>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</si>
  <si>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</si>
  <si>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</si>
  <si>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</si>
  <si>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</si>
  <si>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</si>
  <si>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</si>
  <si>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</si>
  <si>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</si>
  <si>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</si>
  <si>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</si>
  <si>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</si>
  <si>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</si>
  <si>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</si>
  <si>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</si>
  <si>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</si>
  <si>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</si>
  <si>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</si>
  <si>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</si>
  <si>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</si>
  <si>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</si>
  <si>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</si>
  <si>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</si>
  <si>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</si>
  <si>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</si>
  <si>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</si>
  <si>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</si>
  <si>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</si>
  <si>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</si>
  <si>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</si>
  <si>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</si>
  <si>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</si>
  <si>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</si>
  <si>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</si>
  <si>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</si>
  <si>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</si>
  <si>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</si>
  <si>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</si>
  <si>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</si>
  <si>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</si>
  <si>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</si>
  <si>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</si>
  <si>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</si>
  <si>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</si>
  <si>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</si>
  <si>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</si>
  <si>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</si>
  <si>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</si>
  <si>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</si>
  <si>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</si>
  <si>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</si>
  <si>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</si>
  <si>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</si>
  <si>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</si>
  <si>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</si>
  <si>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</si>
  <si>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</si>
  <si>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</si>
  <si>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</si>
  <si>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</si>
  <si>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</si>
  <si>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</si>
  <si>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</si>
  <si>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</si>
  <si>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</si>
  <si>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</si>
  <si>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</si>
  <si>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</si>
  <si>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</si>
  <si>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</si>
  <si>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</si>
  <si>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</si>
  <si>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</si>
  <si>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</si>
  <si>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</si>
  <si>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</si>
  <si>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</si>
  <si>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</si>
  <si>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</si>
  <si>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</si>
  <si>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</si>
  <si>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</si>
  <si>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</si>
  <si>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</si>
  <si>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</si>
  <si>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</si>
  <si>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</si>
  <si>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</si>
  <si>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</si>
  <si>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</si>
  <si>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</si>
  <si>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</si>
  <si>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</si>
  <si>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</si>
  <si>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</si>
  <si>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</si>
  <si>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</si>
  <si>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</si>
  <si>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</si>
  <si>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</si>
  <si>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</si>
  <si>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</si>
  <si>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</si>
  <si>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</si>
  <si>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</si>
  <si>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</si>
  <si>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</si>
  <si>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</si>
  <si>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</si>
  <si>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</si>
  <si>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</si>
  <si>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</si>
  <si>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</si>
  <si>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</si>
  <si>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</si>
  <si>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</si>
  <si>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</si>
  <si>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</si>
  <si>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</si>
  <si>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</si>
  <si>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</si>
  <si>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</si>
  <si>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</si>
  <si>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</si>
  <si>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</si>
  <si>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</si>
  <si>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</si>
  <si>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</si>
  <si>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</si>
  <si>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</si>
  <si>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</si>
  <si>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</si>
  <si>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</si>
  <si>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</si>
  <si>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</si>
  <si>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</si>
  <si>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</si>
  <si>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</si>
  <si>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</si>
  <si>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</si>
  <si>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</si>
  <si>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</si>
  <si>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</si>
  <si>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</si>
  <si>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</si>
  <si>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</si>
  <si>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</si>
  <si>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</si>
  <si>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</si>
  <si>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</si>
  <si>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</si>
  <si>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</si>
  <si>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</si>
  <si>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</si>
  <si>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</si>
  <si>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</si>
  <si>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</si>
  <si>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</si>
  <si>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</si>
  <si>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</si>
  <si>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</si>
  <si>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</si>
  <si>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</si>
  <si>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</si>
  <si>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</si>
  <si>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</si>
  <si>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</si>
  <si>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</si>
  <si>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</si>
  <si>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</si>
  <si>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</si>
  <si>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</si>
  <si>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</si>
  <si>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</si>
  <si>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</si>
  <si>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</si>
  <si>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</si>
  <si>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</si>
  <si>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</si>
  <si>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</si>
  <si>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</si>
  <si>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</si>
  <si>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</si>
  <si>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</si>
  <si>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</si>
  <si>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</si>
  <si>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</si>
  <si>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</si>
  <si>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</si>
  <si>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</si>
  <si>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</si>
  <si>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</si>
  <si>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</si>
  <si>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</si>
  <si>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</si>
  <si>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</si>
  <si>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</si>
  <si>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</si>
  <si>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</si>
  <si>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</si>
  <si>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</si>
  <si>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</si>
  <si>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</si>
  <si>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</si>
  <si>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</si>
  <si>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</si>
  <si>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</si>
  <si>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</si>
  <si>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</si>
  <si>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</si>
  <si>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</si>
  <si>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</si>
  <si>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</si>
  <si>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</si>
  <si>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</si>
  <si>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</si>
  <si>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</si>
  <si>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</si>
  <si>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</si>
  <si>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</si>
  <si>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</si>
  <si>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</si>
  <si>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</si>
  <si>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</si>
  <si>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</si>
  <si>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</si>
  <si>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</si>
  <si>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</si>
  <si>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</si>
  <si>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</si>
  <si>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</si>
  <si>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</si>
  <si>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</si>
  <si>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</si>
  <si>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</si>
  <si>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</si>
  <si>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</si>
  <si>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</si>
  <si>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</si>
  <si>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</si>
  <si>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</si>
  <si>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</si>
  <si>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</si>
  <si>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</si>
  <si>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</si>
  <si>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</si>
  <si>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</si>
  <si>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</si>
  <si>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</si>
  <si>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</si>
  <si>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</si>
  <si>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</si>
  <si>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</si>
  <si>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</si>
  <si>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</si>
  <si>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</si>
  <si>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</si>
  <si>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</si>
  <si>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</si>
  <si>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</si>
  <si>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</si>
  <si>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</si>
  <si>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</si>
  <si>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</si>
  <si>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</si>
  <si>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</si>
  <si>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</si>
  <si>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</si>
  <si>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</si>
  <si>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</si>
  <si>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</si>
  <si>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</si>
  <si>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</si>
  <si>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</si>
  <si>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</si>
  <si>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</si>
  <si>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</si>
  <si>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</si>
  <si>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</si>
  <si>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</si>
  <si>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</si>
  <si>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</si>
  <si>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</si>
  <si>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</si>
  <si>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</si>
  <si>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</si>
  <si>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</si>
  <si>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</si>
  <si>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</si>
  <si>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</si>
  <si>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</si>
  <si>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</si>
  <si>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</si>
  <si>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</si>
  <si>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</si>
  <si>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</si>
  <si>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</si>
  <si>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</si>
  <si>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</si>
  <si>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</si>
  <si>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</si>
  <si>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</si>
  <si>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</si>
  <si>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</si>
  <si>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</si>
  <si>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</si>
  <si>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</si>
  <si>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</si>
  <si>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</si>
  <si>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</si>
  <si>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</si>
  <si>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</si>
  <si>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</si>
  <si>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</si>
  <si>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</si>
  <si>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</si>
  <si>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</si>
  <si>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</si>
  <si>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</si>
  <si>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</si>
  <si>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</si>
  <si>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</si>
  <si>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</si>
  <si>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</si>
  <si>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</si>
  <si>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</si>
  <si>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</si>
  <si>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</si>
  <si>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</si>
  <si>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</si>
  <si>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</si>
  <si>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</si>
  <si>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</si>
  <si>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</si>
  <si>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</si>
  <si>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</si>
  <si>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</si>
  <si>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</si>
  <si>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</si>
  <si>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</si>
  <si>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</si>
  <si>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</si>
  <si>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</si>
  <si>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</si>
  <si>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</si>
  <si>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</si>
  <si>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</si>
  <si>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</si>
  <si>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</si>
  <si>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</si>
  <si>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</si>
  <si>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</si>
  <si>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</si>
  <si>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</si>
  <si>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</si>
  <si>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</si>
  <si>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</si>
  <si>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</si>
  <si>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</si>
  <si>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</si>
  <si>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</si>
  <si>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</si>
  <si>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</si>
  <si>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</si>
  <si>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</si>
  <si>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</si>
  <si>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</si>
  <si>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</si>
  <si>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</si>
  <si>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</si>
  <si>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</si>
  <si>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</si>
  <si>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</si>
  <si>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</si>
  <si>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</si>
  <si>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</si>
  <si>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</si>
  <si>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</si>
  <si>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</si>
  <si>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</si>
  <si>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</si>
  <si>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</si>
  <si>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</si>
  <si>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</si>
  <si>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</si>
  <si>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</si>
  <si>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</si>
  <si>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</si>
  <si>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</si>
  <si>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</si>
  <si>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</si>
  <si>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</si>
  <si>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</si>
  <si>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</si>
  <si>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</si>
  <si>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</si>
  <si>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</si>
  <si>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</si>
  <si>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</si>
  <si>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</si>
  <si>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</si>
  <si>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</si>
  <si>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</si>
  <si>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</si>
  <si>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</si>
  <si>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</si>
  <si>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</si>
  <si>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לסמן כמה אחוז משרה כולל משרת אם (אם יש)</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</si>
</sst>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4">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6" fillId="2" borderId="4" xfId="0" applyFont="1" applyFill="1" applyBorder="1" applyProtection="1">
      <protection locked="0"/>
    </xf>
    <xf numFmtId="0" fontId="6" fillId="2" borderId="4" xfId="0" applyFont="1" applyFill="1" applyBorder="1" applyAlignment="1" applyProtection="1">
      <alignment horizontal="right"/>
      <protection locked="0"/>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refreshError="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refreshError="1"/>
      <sheetData sheetId="4" refreshError="1"/>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refreshError="1"/>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refreshError="1"/>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B3" sqref="B3"/>
    </sheetView>
  </sheetViews>
  <sheetFormatPr defaultRowHeight="13.8" x14ac:dyDescent="0.25"/>
  <cols>
    <col min="1" max="1" width="31.296875" customWidth="1"/>
    <col min="3" max="3" width="29.19921875" customWidth="1"/>
    <col min="4" max="4" width="29.296875" customWidth="1"/>
    <col min="5" max="5" width="18.19921875" customWidth="1"/>
    <col min="7" max="7" width="34.09765625" customWidth="1"/>
  </cols>
  <sheetData>
    <row r="1" spans="1:7" ht="15" thickTop="1" thickBot="1" x14ac:dyDescent="0.3">
      <c r="A1" s="8" t="s">
        <v>35</v>
      </c>
      <c r="B1" s="9"/>
      <c r="C1" s="33" t="s">
        <v>73</v>
      </c>
      <c r="D1" s="33"/>
      <c r="E1" s="33"/>
      <c r="F1" s="26"/>
    </row>
    <row r="2" spans="1:7" ht="14.4" thickTop="1" x14ac:dyDescent="0.25">
      <c r="A2" s="1" t="s">
        <v>0</v>
      </c>
      <c r="B2" s="2" t="s">
        <v>1</v>
      </c>
      <c r="C2" t="s">
        <v>24</v>
      </c>
    </row>
    <row r="3" spans="1:7" x14ac:dyDescent="0.25">
      <c r="A3" s="1" t="s">
        <v>2</v>
      </c>
      <c r="B3" s="3">
        <v>18</v>
      </c>
      <c r="C3" t="s">
        <v>46</v>
      </c>
    </row>
    <row r="4" spans="1:7" x14ac:dyDescent="0.25">
      <c r="A4" s="1" t="s">
        <v>3</v>
      </c>
      <c r="B4" s="191">
        <f>IF(B9&gt;0%,0,6%)</f>
        <v>0</v>
      </c>
      <c r="C4" s="21" t="s">
        <v>36</v>
      </c>
      <c r="D4" s="21" t="s">
        <v>22</v>
      </c>
    </row>
    <row r="5" spans="1:7" x14ac:dyDescent="0.25">
      <c r="A5" s="1" t="s">
        <v>4</v>
      </c>
      <c r="B5" s="192">
        <f>IF(B2=B33,8.75,IF(B2=C33,8.75,0))</f>
        <v>8.75</v>
      </c>
      <c r="C5" s="21" t="s">
        <v>36</v>
      </c>
      <c r="D5" s="21" t="s">
        <v>23</v>
      </c>
    </row>
    <row r="6" spans="1:7" x14ac:dyDescent="0.25">
      <c r="A6" s="1" t="s">
        <v>38</v>
      </c>
      <c r="B6" s="5">
        <v>14.8</v>
      </c>
      <c r="C6" t="s">
        <v>24</v>
      </c>
    </row>
    <row r="7" spans="1:7" x14ac:dyDescent="0.25">
      <c r="A7" s="1" t="s">
        <v>5</v>
      </c>
      <c r="B7" s="4">
        <v>0</v>
      </c>
      <c r="C7" t="s">
        <v>44</v>
      </c>
    </row>
    <row r="8" spans="1:7" x14ac:dyDescent="0.25">
      <c r="A8" s="1" t="s">
        <v>37</v>
      </c>
      <c r="B8" s="4">
        <v>0.9</v>
      </c>
      <c r="C8" t="s">
        <v>610</v>
      </c>
    </row>
    <row r="9" spans="1:7" x14ac:dyDescent="0.25">
      <c r="A9" s="6" t="s">
        <v>6</v>
      </c>
      <c r="B9" s="4">
        <v>0.1</v>
      </c>
      <c r="C9" t="s">
        <v>45</v>
      </c>
    </row>
    <row r="10" spans="1:7" x14ac:dyDescent="0.25">
      <c r="A10" s="6" t="s">
        <v>7</v>
      </c>
      <c r="B10" s="4" t="s">
        <v>8</v>
      </c>
      <c r="C10" t="s">
        <v>25</v>
      </c>
      <c r="E10" s="10"/>
    </row>
    <row r="11" spans="1:7" ht="14.4" thickBot="1" x14ac:dyDescent="0.3">
      <c r="A11" s="16" t="s">
        <v>42</v>
      </c>
      <c r="B11" s="17" t="s">
        <v>28</v>
      </c>
      <c r="C11" t="s">
        <v>43</v>
      </c>
      <c r="E11" s="10"/>
    </row>
    <row r="12" spans="1:7" ht="14.4" thickTop="1" x14ac:dyDescent="0.25">
      <c r="A12" s="14" t="s">
        <v>42</v>
      </c>
      <c r="B12" s="15">
        <v>0</v>
      </c>
      <c r="C12" t="s">
        <v>50</v>
      </c>
    </row>
    <row r="13" spans="1:7" x14ac:dyDescent="0.25">
      <c r="A13" s="14" t="s">
        <v>30</v>
      </c>
      <c r="B13" s="15">
        <v>0</v>
      </c>
      <c r="C13" t="s">
        <v>49</v>
      </c>
    </row>
    <row r="14" spans="1:7" x14ac:dyDescent="0.25">
      <c r="A14" s="14" t="s">
        <v>31</v>
      </c>
      <c r="B14" s="15">
        <v>1</v>
      </c>
      <c r="C14" t="s">
        <v>48</v>
      </c>
      <c r="D14" t="s">
        <v>607</v>
      </c>
    </row>
    <row r="15" spans="1:7" ht="14.4" thickBot="1" x14ac:dyDescent="0.3">
      <c r="D15" s="13" t="s">
        <v>40</v>
      </c>
      <c r="E15" s="195">
        <v>0</v>
      </c>
      <c r="F15" s="196">
        <f>($E$15/24)+AX44</f>
        <v>0</v>
      </c>
      <c r="G15" s="11" t="s">
        <v>30</v>
      </c>
    </row>
    <row r="16" spans="1:7" ht="14.4" thickBot="1" x14ac:dyDescent="0.3">
      <c r="D16" s="13" t="s">
        <v>41</v>
      </c>
      <c r="E16" s="195">
        <v>24</v>
      </c>
      <c r="F16" s="196">
        <f>$E$16/30+AX45</f>
        <v>0.9</v>
      </c>
      <c r="G16" s="11" t="s">
        <v>31</v>
      </c>
    </row>
    <row r="17" spans="1:69" x14ac:dyDescent="0.25">
      <c r="A17" s="6" t="s">
        <v>39</v>
      </c>
      <c r="C17" s="207"/>
      <c r="D17" s="207"/>
      <c r="E17" s="207"/>
    </row>
    <row r="18" spans="1:69" x14ac:dyDescent="0.25">
      <c r="C18" s="18"/>
      <c r="D18" s="18"/>
      <c r="E18" s="18"/>
      <c r="F18" s="6"/>
      <c r="H18" s="10"/>
    </row>
    <row r="19" spans="1:69" x14ac:dyDescent="0.25">
      <c r="A19" t="s">
        <v>47</v>
      </c>
      <c r="C19" s="18"/>
      <c r="D19" s="18"/>
      <c r="E19" s="18"/>
      <c r="F19" s="6"/>
      <c r="H19" s="10"/>
    </row>
    <row r="20" spans="1:69" ht="14.4" thickBot="1" x14ac:dyDescent="0.3">
      <c r="A20" s="7" t="s">
        <v>33</v>
      </c>
      <c r="B20" s="193">
        <v>2</v>
      </c>
      <c r="C20" s="18" t="s">
        <v>34</v>
      </c>
      <c r="D20" s="18"/>
      <c r="E20" s="18"/>
    </row>
    <row r="21" spans="1:69" ht="14.4" thickTop="1" x14ac:dyDescent="0.25">
      <c r="A21" s="6" t="s">
        <v>32</v>
      </c>
      <c r="B21" s="194">
        <v>0.15</v>
      </c>
      <c r="C21" s="18"/>
      <c r="D21" s="19"/>
      <c r="E21" s="18"/>
    </row>
    <row r="22" spans="1:69" x14ac:dyDescent="0.25">
      <c r="C22" s="18"/>
      <c r="D22" s="18"/>
      <c r="E22" s="18"/>
    </row>
    <row r="23" spans="1:69" x14ac:dyDescent="0.25">
      <c r="C23" s="18"/>
      <c r="D23" s="20"/>
      <c r="E23" s="20"/>
      <c r="F23" s="12"/>
    </row>
    <row r="24" spans="1:69" x14ac:dyDescent="0.25">
      <c r="B24" s="12"/>
      <c r="C24" s="18"/>
      <c r="D24" s="20"/>
      <c r="E24" s="20"/>
      <c r="F24" s="12"/>
    </row>
    <row r="25" spans="1:69" x14ac:dyDescent="0.25">
      <c r="A25" s="12"/>
      <c r="B25" s="12"/>
      <c r="C25" s="20"/>
      <c r="D25" s="20"/>
      <c r="E25" s="20"/>
      <c r="F25" s="12"/>
    </row>
    <row r="26" spans="1:69" x14ac:dyDescent="0.25">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5">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5">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5">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5">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5">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5">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6" x14ac:dyDescent="0.25">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5">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5">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5">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5">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5">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5">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t="e">
        <f>B13/B12*(C39+C40+17%+12.5%)</f>
        <v>#DIV/0!</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5">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t="e">
        <f>B14/B12*(C39+C40+17%)</f>
        <v>#DIV/0!</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5">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t="e">
        <f>(AU40+AU39)</f>
        <v>#DIV/0!</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5">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5">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5">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5">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5">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5">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5">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5">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5">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5">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5">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5">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5">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5">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5">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5">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5">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5">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5">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5">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5">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5">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5">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5">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5">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5">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5">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3" zoomScaleNormal="100" workbookViewId="0">
      <selection activeCell="C1" sqref="C1"/>
    </sheetView>
  </sheetViews>
  <sheetFormatPr defaultRowHeight="13.8" x14ac:dyDescent="0.25"/>
  <cols>
    <col min="1" max="1" width="0.296875" customWidth="1"/>
    <col min="2" max="2" width="17.19921875" customWidth="1"/>
    <col min="3" max="3" width="13.296875" customWidth="1"/>
    <col min="4" max="4" width="9.59765625" style="10" customWidth="1"/>
    <col min="5" max="5" width="13.2968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796875" customWidth="1"/>
    <col min="15" max="15" width="11.296875" customWidth="1"/>
    <col min="16" max="16" width="11.69921875" customWidth="1"/>
    <col min="17" max="17" width="10.796875" customWidth="1"/>
    <col min="18" max="18" width="16" customWidth="1"/>
    <col min="19" max="19" width="14.09765625" customWidth="1"/>
    <col min="20" max="20" width="11.69921875" customWidth="1"/>
    <col min="21" max="21" width="13.2968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296875" customWidth="1"/>
    <col min="31" max="32" width="13.19921875" customWidth="1"/>
    <col min="33" max="33" width="8.19921875" bestFit="1" customWidth="1"/>
    <col min="34" max="34" width="10" style="64" customWidth="1"/>
    <col min="36" max="36" width="9.69921875" customWidth="1"/>
    <col min="37" max="37" width="9.296875" customWidth="1"/>
    <col min="38" max="38" width="10.5" bestFit="1" customWidth="1"/>
    <col min="45" max="45" width="9.59765625" customWidth="1"/>
    <col min="46" max="46" width="14.69921875" customWidth="1"/>
    <col min="47" max="47" width="11.296875" customWidth="1"/>
    <col min="48" max="48" width="9.7968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796875" customWidth="1"/>
    <col min="60" max="60" width="9.59765625" bestFit="1" customWidth="1"/>
    <col min="61" max="61" width="9.296875" customWidth="1"/>
    <col min="63" max="63" width="7.19921875" customWidth="1"/>
    <col min="64" max="64" width="0" hidden="1" customWidth="1"/>
    <col min="66" max="66" width="9.296875" customWidth="1"/>
    <col min="67" max="67" width="10.296875" customWidth="1"/>
    <col min="68" max="68" width="15.796875" customWidth="1"/>
    <col min="70" max="70" width="6.69921875" customWidth="1"/>
    <col min="257" max="257" width="0.296875" customWidth="1"/>
    <col min="258" max="258" width="17.19921875" customWidth="1"/>
    <col min="259" max="259" width="13.296875" customWidth="1"/>
    <col min="260" max="260" width="9.59765625" customWidth="1"/>
    <col min="261" max="261" width="13.2968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796875" customWidth="1"/>
    <col min="271" max="271" width="11.296875" customWidth="1"/>
    <col min="272" max="272" width="11.69921875" customWidth="1"/>
    <col min="273" max="273" width="10.796875" customWidth="1"/>
    <col min="274" max="274" width="16" customWidth="1"/>
    <col min="275" max="275" width="14.09765625" customWidth="1"/>
    <col min="276" max="276" width="11.69921875" customWidth="1"/>
    <col min="277" max="277" width="13.2968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296875" customWidth="1"/>
    <col min="287" max="288" width="13.19921875" customWidth="1"/>
    <col min="289" max="289" width="8.19921875" bestFit="1" customWidth="1"/>
    <col min="290" max="290" width="10" customWidth="1"/>
    <col min="292" max="292" width="9.69921875" customWidth="1"/>
    <col min="293" max="293" width="9.296875" customWidth="1"/>
    <col min="294" max="294" width="10.5" bestFit="1" customWidth="1"/>
    <col min="301" max="301" width="9.59765625" customWidth="1"/>
    <col min="302" max="302" width="14.69921875" customWidth="1"/>
    <col min="303" max="303" width="11.296875" customWidth="1"/>
    <col min="304" max="304" width="9.7968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796875" customWidth="1"/>
    <col min="316" max="316" width="9.59765625" bestFit="1" customWidth="1"/>
    <col min="317" max="317" width="9.296875" customWidth="1"/>
    <col min="319" max="319" width="7.19921875" customWidth="1"/>
    <col min="320" max="320" width="0" hidden="1" customWidth="1"/>
    <col min="322" max="322" width="9.296875" customWidth="1"/>
    <col min="323" max="323" width="10.296875" customWidth="1"/>
    <col min="324" max="324" width="15.796875" customWidth="1"/>
    <col min="326" max="326" width="6.69921875" customWidth="1"/>
    <col min="513" max="513" width="0.296875" customWidth="1"/>
    <col min="514" max="514" width="17.19921875" customWidth="1"/>
    <col min="515" max="515" width="13.296875" customWidth="1"/>
    <col min="516" max="516" width="9.59765625" customWidth="1"/>
    <col min="517" max="517" width="13.2968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796875" customWidth="1"/>
    <col min="527" max="527" width="11.296875" customWidth="1"/>
    <col min="528" max="528" width="11.69921875" customWidth="1"/>
    <col min="529" max="529" width="10.796875" customWidth="1"/>
    <col min="530" max="530" width="16" customWidth="1"/>
    <col min="531" max="531" width="14.09765625" customWidth="1"/>
    <col min="532" max="532" width="11.69921875" customWidth="1"/>
    <col min="533" max="533" width="13.2968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296875" customWidth="1"/>
    <col min="543" max="544" width="13.19921875" customWidth="1"/>
    <col min="545" max="545" width="8.19921875" bestFit="1" customWidth="1"/>
    <col min="546" max="546" width="10" customWidth="1"/>
    <col min="548" max="548" width="9.69921875" customWidth="1"/>
    <col min="549" max="549" width="9.296875" customWidth="1"/>
    <col min="550" max="550" width="10.5" bestFit="1" customWidth="1"/>
    <col min="557" max="557" width="9.59765625" customWidth="1"/>
    <col min="558" max="558" width="14.69921875" customWidth="1"/>
    <col min="559" max="559" width="11.296875" customWidth="1"/>
    <col min="560" max="560" width="9.7968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796875" customWidth="1"/>
    <col min="572" max="572" width="9.59765625" bestFit="1" customWidth="1"/>
    <col min="573" max="573" width="9.296875" customWidth="1"/>
    <col min="575" max="575" width="7.19921875" customWidth="1"/>
    <col min="576" max="576" width="0" hidden="1" customWidth="1"/>
    <col min="578" max="578" width="9.296875" customWidth="1"/>
    <col min="579" max="579" width="10.296875" customWidth="1"/>
    <col min="580" max="580" width="15.796875" customWidth="1"/>
    <col min="582" max="582" width="6.69921875" customWidth="1"/>
    <col min="769" max="769" width="0.296875" customWidth="1"/>
    <col min="770" max="770" width="17.19921875" customWidth="1"/>
    <col min="771" max="771" width="13.296875" customWidth="1"/>
    <col min="772" max="772" width="9.59765625" customWidth="1"/>
    <col min="773" max="773" width="13.2968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796875" customWidth="1"/>
    <col min="783" max="783" width="11.296875" customWidth="1"/>
    <col min="784" max="784" width="11.69921875" customWidth="1"/>
    <col min="785" max="785" width="10.796875" customWidth="1"/>
    <col min="786" max="786" width="16" customWidth="1"/>
    <col min="787" max="787" width="14.09765625" customWidth="1"/>
    <col min="788" max="788" width="11.69921875" customWidth="1"/>
    <col min="789" max="789" width="13.2968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296875" customWidth="1"/>
    <col min="799" max="800" width="13.19921875" customWidth="1"/>
    <col min="801" max="801" width="8.19921875" bestFit="1" customWidth="1"/>
    <col min="802" max="802" width="10" customWidth="1"/>
    <col min="804" max="804" width="9.69921875" customWidth="1"/>
    <col min="805" max="805" width="9.296875" customWidth="1"/>
    <col min="806" max="806" width="10.5" bestFit="1" customWidth="1"/>
    <col min="813" max="813" width="9.59765625" customWidth="1"/>
    <col min="814" max="814" width="14.69921875" customWidth="1"/>
    <col min="815" max="815" width="11.296875" customWidth="1"/>
    <col min="816" max="816" width="9.7968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796875" customWidth="1"/>
    <col min="828" max="828" width="9.59765625" bestFit="1" customWidth="1"/>
    <col min="829" max="829" width="9.296875" customWidth="1"/>
    <col min="831" max="831" width="7.19921875" customWidth="1"/>
    <col min="832" max="832" width="0" hidden="1" customWidth="1"/>
    <col min="834" max="834" width="9.296875" customWidth="1"/>
    <col min="835" max="835" width="10.296875" customWidth="1"/>
    <col min="836" max="836" width="15.796875" customWidth="1"/>
    <col min="838" max="838" width="6.69921875" customWidth="1"/>
    <col min="1025" max="1025" width="0.296875" customWidth="1"/>
    <col min="1026" max="1026" width="17.19921875" customWidth="1"/>
    <col min="1027" max="1027" width="13.296875" customWidth="1"/>
    <col min="1028" max="1028" width="9.59765625" customWidth="1"/>
    <col min="1029" max="1029" width="13.2968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796875" customWidth="1"/>
    <col min="1039" max="1039" width="11.296875" customWidth="1"/>
    <col min="1040" max="1040" width="11.69921875" customWidth="1"/>
    <col min="1041" max="1041" width="10.796875" customWidth="1"/>
    <col min="1042" max="1042" width="16" customWidth="1"/>
    <col min="1043" max="1043" width="14.09765625" customWidth="1"/>
    <col min="1044" max="1044" width="11.69921875" customWidth="1"/>
    <col min="1045" max="1045" width="13.2968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296875" customWidth="1"/>
    <col min="1055" max="1056" width="13.19921875" customWidth="1"/>
    <col min="1057" max="1057" width="8.19921875" bestFit="1" customWidth="1"/>
    <col min="1058" max="1058" width="10" customWidth="1"/>
    <col min="1060" max="1060" width="9.69921875" customWidth="1"/>
    <col min="1061" max="1061" width="9.296875" customWidth="1"/>
    <col min="1062" max="1062" width="10.5" bestFit="1" customWidth="1"/>
    <col min="1069" max="1069" width="9.59765625" customWidth="1"/>
    <col min="1070" max="1070" width="14.69921875" customWidth="1"/>
    <col min="1071" max="1071" width="11.296875" customWidth="1"/>
    <col min="1072" max="1072" width="9.7968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796875" customWidth="1"/>
    <col min="1084" max="1084" width="9.59765625" bestFit="1" customWidth="1"/>
    <col min="1085" max="1085" width="9.296875" customWidth="1"/>
    <col min="1087" max="1087" width="7.19921875" customWidth="1"/>
    <col min="1088" max="1088" width="0" hidden="1" customWidth="1"/>
    <col min="1090" max="1090" width="9.296875" customWidth="1"/>
    <col min="1091" max="1091" width="10.296875" customWidth="1"/>
    <col min="1092" max="1092" width="15.796875" customWidth="1"/>
    <col min="1094" max="1094" width="6.69921875" customWidth="1"/>
    <col min="1281" max="1281" width="0.296875" customWidth="1"/>
    <col min="1282" max="1282" width="17.19921875" customWidth="1"/>
    <col min="1283" max="1283" width="13.296875" customWidth="1"/>
    <col min="1284" max="1284" width="9.59765625" customWidth="1"/>
    <col min="1285" max="1285" width="13.2968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796875" customWidth="1"/>
    <col min="1295" max="1295" width="11.296875" customWidth="1"/>
    <col min="1296" max="1296" width="11.69921875" customWidth="1"/>
    <col min="1297" max="1297" width="10.796875" customWidth="1"/>
    <col min="1298" max="1298" width="16" customWidth="1"/>
    <col min="1299" max="1299" width="14.09765625" customWidth="1"/>
    <col min="1300" max="1300" width="11.69921875" customWidth="1"/>
    <col min="1301" max="1301" width="13.2968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296875" customWidth="1"/>
    <col min="1311" max="1312" width="13.19921875" customWidth="1"/>
    <col min="1313" max="1313" width="8.19921875" bestFit="1" customWidth="1"/>
    <col min="1314" max="1314" width="10" customWidth="1"/>
    <col min="1316" max="1316" width="9.69921875" customWidth="1"/>
    <col min="1317" max="1317" width="9.296875" customWidth="1"/>
    <col min="1318" max="1318" width="10.5" bestFit="1" customWidth="1"/>
    <col min="1325" max="1325" width="9.59765625" customWidth="1"/>
    <col min="1326" max="1326" width="14.69921875" customWidth="1"/>
    <col min="1327" max="1327" width="11.296875" customWidth="1"/>
    <col min="1328" max="1328" width="9.7968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796875" customWidth="1"/>
    <col min="1340" max="1340" width="9.59765625" bestFit="1" customWidth="1"/>
    <col min="1341" max="1341" width="9.296875" customWidth="1"/>
    <col min="1343" max="1343" width="7.19921875" customWidth="1"/>
    <col min="1344" max="1344" width="0" hidden="1" customWidth="1"/>
    <col min="1346" max="1346" width="9.296875" customWidth="1"/>
    <col min="1347" max="1347" width="10.296875" customWidth="1"/>
    <col min="1348" max="1348" width="15.796875" customWidth="1"/>
    <col min="1350" max="1350" width="6.69921875" customWidth="1"/>
    <col min="1537" max="1537" width="0.296875" customWidth="1"/>
    <col min="1538" max="1538" width="17.19921875" customWidth="1"/>
    <col min="1539" max="1539" width="13.296875" customWidth="1"/>
    <col min="1540" max="1540" width="9.59765625" customWidth="1"/>
    <col min="1541" max="1541" width="13.2968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796875" customWidth="1"/>
    <col min="1551" max="1551" width="11.296875" customWidth="1"/>
    <col min="1552" max="1552" width="11.69921875" customWidth="1"/>
    <col min="1553" max="1553" width="10.796875" customWidth="1"/>
    <col min="1554" max="1554" width="16" customWidth="1"/>
    <col min="1555" max="1555" width="14.09765625" customWidth="1"/>
    <col min="1556" max="1556" width="11.69921875" customWidth="1"/>
    <col min="1557" max="1557" width="13.2968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296875" customWidth="1"/>
    <col min="1567" max="1568" width="13.19921875" customWidth="1"/>
    <col min="1569" max="1569" width="8.19921875" bestFit="1" customWidth="1"/>
    <col min="1570" max="1570" width="10" customWidth="1"/>
    <col min="1572" max="1572" width="9.69921875" customWidth="1"/>
    <col min="1573" max="1573" width="9.296875" customWidth="1"/>
    <col min="1574" max="1574" width="10.5" bestFit="1" customWidth="1"/>
    <col min="1581" max="1581" width="9.59765625" customWidth="1"/>
    <col min="1582" max="1582" width="14.69921875" customWidth="1"/>
    <col min="1583" max="1583" width="11.296875" customWidth="1"/>
    <col min="1584" max="1584" width="9.7968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796875" customWidth="1"/>
    <col min="1596" max="1596" width="9.59765625" bestFit="1" customWidth="1"/>
    <col min="1597" max="1597" width="9.296875" customWidth="1"/>
    <col min="1599" max="1599" width="7.19921875" customWidth="1"/>
    <col min="1600" max="1600" width="0" hidden="1" customWidth="1"/>
    <col min="1602" max="1602" width="9.296875" customWidth="1"/>
    <col min="1603" max="1603" width="10.296875" customWidth="1"/>
    <col min="1604" max="1604" width="15.796875" customWidth="1"/>
    <col min="1606" max="1606" width="6.69921875" customWidth="1"/>
    <col min="1793" max="1793" width="0.296875" customWidth="1"/>
    <col min="1794" max="1794" width="17.19921875" customWidth="1"/>
    <col min="1795" max="1795" width="13.296875" customWidth="1"/>
    <col min="1796" max="1796" width="9.59765625" customWidth="1"/>
    <col min="1797" max="1797" width="13.2968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796875" customWidth="1"/>
    <col min="1807" max="1807" width="11.296875" customWidth="1"/>
    <col min="1808" max="1808" width="11.69921875" customWidth="1"/>
    <col min="1809" max="1809" width="10.796875" customWidth="1"/>
    <col min="1810" max="1810" width="16" customWidth="1"/>
    <col min="1811" max="1811" width="14.09765625" customWidth="1"/>
    <col min="1812" max="1812" width="11.69921875" customWidth="1"/>
    <col min="1813" max="1813" width="13.2968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296875" customWidth="1"/>
    <col min="1823" max="1824" width="13.19921875" customWidth="1"/>
    <col min="1825" max="1825" width="8.19921875" bestFit="1" customWidth="1"/>
    <col min="1826" max="1826" width="10" customWidth="1"/>
    <col min="1828" max="1828" width="9.69921875" customWidth="1"/>
    <col min="1829" max="1829" width="9.296875" customWidth="1"/>
    <col min="1830" max="1830" width="10.5" bestFit="1" customWidth="1"/>
    <col min="1837" max="1837" width="9.59765625" customWidth="1"/>
    <col min="1838" max="1838" width="14.69921875" customWidth="1"/>
    <col min="1839" max="1839" width="11.296875" customWidth="1"/>
    <col min="1840" max="1840" width="9.7968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796875" customWidth="1"/>
    <col min="1852" max="1852" width="9.59765625" bestFit="1" customWidth="1"/>
    <col min="1853" max="1853" width="9.296875" customWidth="1"/>
    <col min="1855" max="1855" width="7.19921875" customWidth="1"/>
    <col min="1856" max="1856" width="0" hidden="1" customWidth="1"/>
    <col min="1858" max="1858" width="9.296875" customWidth="1"/>
    <col min="1859" max="1859" width="10.296875" customWidth="1"/>
    <col min="1860" max="1860" width="15.796875" customWidth="1"/>
    <col min="1862" max="1862" width="6.69921875" customWidth="1"/>
    <col min="2049" max="2049" width="0.296875" customWidth="1"/>
    <col min="2050" max="2050" width="17.19921875" customWidth="1"/>
    <col min="2051" max="2051" width="13.296875" customWidth="1"/>
    <col min="2052" max="2052" width="9.59765625" customWidth="1"/>
    <col min="2053" max="2053" width="13.2968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796875" customWidth="1"/>
    <col min="2063" max="2063" width="11.296875" customWidth="1"/>
    <col min="2064" max="2064" width="11.69921875" customWidth="1"/>
    <col min="2065" max="2065" width="10.796875" customWidth="1"/>
    <col min="2066" max="2066" width="16" customWidth="1"/>
    <col min="2067" max="2067" width="14.09765625" customWidth="1"/>
    <col min="2068" max="2068" width="11.69921875" customWidth="1"/>
    <col min="2069" max="2069" width="13.2968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296875" customWidth="1"/>
    <col min="2079" max="2080" width="13.19921875" customWidth="1"/>
    <col min="2081" max="2081" width="8.19921875" bestFit="1" customWidth="1"/>
    <col min="2082" max="2082" width="10" customWidth="1"/>
    <col min="2084" max="2084" width="9.69921875" customWidth="1"/>
    <col min="2085" max="2085" width="9.296875" customWidth="1"/>
    <col min="2086" max="2086" width="10.5" bestFit="1" customWidth="1"/>
    <col min="2093" max="2093" width="9.59765625" customWidth="1"/>
    <col min="2094" max="2094" width="14.69921875" customWidth="1"/>
    <col min="2095" max="2095" width="11.296875" customWidth="1"/>
    <col min="2096" max="2096" width="9.7968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796875" customWidth="1"/>
    <col min="2108" max="2108" width="9.59765625" bestFit="1" customWidth="1"/>
    <col min="2109" max="2109" width="9.296875" customWidth="1"/>
    <col min="2111" max="2111" width="7.19921875" customWidth="1"/>
    <col min="2112" max="2112" width="0" hidden="1" customWidth="1"/>
    <col min="2114" max="2114" width="9.296875" customWidth="1"/>
    <col min="2115" max="2115" width="10.296875" customWidth="1"/>
    <col min="2116" max="2116" width="15.796875" customWidth="1"/>
    <col min="2118" max="2118" width="6.69921875" customWidth="1"/>
    <col min="2305" max="2305" width="0.296875" customWidth="1"/>
    <col min="2306" max="2306" width="17.19921875" customWidth="1"/>
    <col min="2307" max="2307" width="13.296875" customWidth="1"/>
    <col min="2308" max="2308" width="9.59765625" customWidth="1"/>
    <col min="2309" max="2309" width="13.2968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796875" customWidth="1"/>
    <col min="2319" max="2319" width="11.296875" customWidth="1"/>
    <col min="2320" max="2320" width="11.69921875" customWidth="1"/>
    <col min="2321" max="2321" width="10.796875" customWidth="1"/>
    <col min="2322" max="2322" width="16" customWidth="1"/>
    <col min="2323" max="2323" width="14.09765625" customWidth="1"/>
    <col min="2324" max="2324" width="11.69921875" customWidth="1"/>
    <col min="2325" max="2325" width="13.2968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296875" customWidth="1"/>
    <col min="2335" max="2336" width="13.19921875" customWidth="1"/>
    <col min="2337" max="2337" width="8.19921875" bestFit="1" customWidth="1"/>
    <col min="2338" max="2338" width="10" customWidth="1"/>
    <col min="2340" max="2340" width="9.69921875" customWidth="1"/>
    <col min="2341" max="2341" width="9.296875" customWidth="1"/>
    <col min="2342" max="2342" width="10.5" bestFit="1" customWidth="1"/>
    <col min="2349" max="2349" width="9.59765625" customWidth="1"/>
    <col min="2350" max="2350" width="14.69921875" customWidth="1"/>
    <col min="2351" max="2351" width="11.296875" customWidth="1"/>
    <col min="2352" max="2352" width="9.7968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796875" customWidth="1"/>
    <col min="2364" max="2364" width="9.59765625" bestFit="1" customWidth="1"/>
    <col min="2365" max="2365" width="9.296875" customWidth="1"/>
    <col min="2367" max="2367" width="7.19921875" customWidth="1"/>
    <col min="2368" max="2368" width="0" hidden="1" customWidth="1"/>
    <col min="2370" max="2370" width="9.296875" customWidth="1"/>
    <col min="2371" max="2371" width="10.296875" customWidth="1"/>
    <col min="2372" max="2372" width="15.796875" customWidth="1"/>
    <col min="2374" max="2374" width="6.69921875" customWidth="1"/>
    <col min="2561" max="2561" width="0.296875" customWidth="1"/>
    <col min="2562" max="2562" width="17.19921875" customWidth="1"/>
    <col min="2563" max="2563" width="13.296875" customWidth="1"/>
    <col min="2564" max="2564" width="9.59765625" customWidth="1"/>
    <col min="2565" max="2565" width="13.2968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796875" customWidth="1"/>
    <col min="2575" max="2575" width="11.296875" customWidth="1"/>
    <col min="2576" max="2576" width="11.69921875" customWidth="1"/>
    <col min="2577" max="2577" width="10.796875" customWidth="1"/>
    <col min="2578" max="2578" width="16" customWidth="1"/>
    <col min="2579" max="2579" width="14.09765625" customWidth="1"/>
    <col min="2580" max="2580" width="11.69921875" customWidth="1"/>
    <col min="2581" max="2581" width="13.2968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296875" customWidth="1"/>
    <col min="2591" max="2592" width="13.19921875" customWidth="1"/>
    <col min="2593" max="2593" width="8.19921875" bestFit="1" customWidth="1"/>
    <col min="2594" max="2594" width="10" customWidth="1"/>
    <col min="2596" max="2596" width="9.69921875" customWidth="1"/>
    <col min="2597" max="2597" width="9.296875" customWidth="1"/>
    <col min="2598" max="2598" width="10.5" bestFit="1" customWidth="1"/>
    <col min="2605" max="2605" width="9.59765625" customWidth="1"/>
    <col min="2606" max="2606" width="14.69921875" customWidth="1"/>
    <col min="2607" max="2607" width="11.296875" customWidth="1"/>
    <col min="2608" max="2608" width="9.7968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796875" customWidth="1"/>
    <col min="2620" max="2620" width="9.59765625" bestFit="1" customWidth="1"/>
    <col min="2621" max="2621" width="9.296875" customWidth="1"/>
    <col min="2623" max="2623" width="7.19921875" customWidth="1"/>
    <col min="2624" max="2624" width="0" hidden="1" customWidth="1"/>
    <col min="2626" max="2626" width="9.296875" customWidth="1"/>
    <col min="2627" max="2627" width="10.296875" customWidth="1"/>
    <col min="2628" max="2628" width="15.796875" customWidth="1"/>
    <col min="2630" max="2630" width="6.69921875" customWidth="1"/>
    <col min="2817" max="2817" width="0.296875" customWidth="1"/>
    <col min="2818" max="2818" width="17.19921875" customWidth="1"/>
    <col min="2819" max="2819" width="13.296875" customWidth="1"/>
    <col min="2820" max="2820" width="9.59765625" customWidth="1"/>
    <col min="2821" max="2821" width="13.2968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796875" customWidth="1"/>
    <col min="2831" max="2831" width="11.296875" customWidth="1"/>
    <col min="2832" max="2832" width="11.69921875" customWidth="1"/>
    <col min="2833" max="2833" width="10.796875" customWidth="1"/>
    <col min="2834" max="2834" width="16" customWidth="1"/>
    <col min="2835" max="2835" width="14.09765625" customWidth="1"/>
    <col min="2836" max="2836" width="11.69921875" customWidth="1"/>
    <col min="2837" max="2837" width="13.2968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296875" customWidth="1"/>
    <col min="2847" max="2848" width="13.19921875" customWidth="1"/>
    <col min="2849" max="2849" width="8.19921875" bestFit="1" customWidth="1"/>
    <col min="2850" max="2850" width="10" customWidth="1"/>
    <col min="2852" max="2852" width="9.69921875" customWidth="1"/>
    <col min="2853" max="2853" width="9.296875" customWidth="1"/>
    <col min="2854" max="2854" width="10.5" bestFit="1" customWidth="1"/>
    <col min="2861" max="2861" width="9.59765625" customWidth="1"/>
    <col min="2862" max="2862" width="14.69921875" customWidth="1"/>
    <col min="2863" max="2863" width="11.296875" customWidth="1"/>
    <col min="2864" max="2864" width="9.7968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796875" customWidth="1"/>
    <col min="2876" max="2876" width="9.59765625" bestFit="1" customWidth="1"/>
    <col min="2877" max="2877" width="9.296875" customWidth="1"/>
    <col min="2879" max="2879" width="7.19921875" customWidth="1"/>
    <col min="2880" max="2880" width="0" hidden="1" customWidth="1"/>
    <col min="2882" max="2882" width="9.296875" customWidth="1"/>
    <col min="2883" max="2883" width="10.296875" customWidth="1"/>
    <col min="2884" max="2884" width="15.796875" customWidth="1"/>
    <col min="2886" max="2886" width="6.69921875" customWidth="1"/>
    <col min="3073" max="3073" width="0.296875" customWidth="1"/>
    <col min="3074" max="3074" width="17.19921875" customWidth="1"/>
    <col min="3075" max="3075" width="13.296875" customWidth="1"/>
    <col min="3076" max="3076" width="9.59765625" customWidth="1"/>
    <col min="3077" max="3077" width="13.2968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796875" customWidth="1"/>
    <col min="3087" max="3087" width="11.296875" customWidth="1"/>
    <col min="3088" max="3088" width="11.69921875" customWidth="1"/>
    <col min="3089" max="3089" width="10.796875" customWidth="1"/>
    <col min="3090" max="3090" width="16" customWidth="1"/>
    <col min="3091" max="3091" width="14.09765625" customWidth="1"/>
    <col min="3092" max="3092" width="11.69921875" customWidth="1"/>
    <col min="3093" max="3093" width="13.2968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296875" customWidth="1"/>
    <col min="3103" max="3104" width="13.19921875" customWidth="1"/>
    <col min="3105" max="3105" width="8.19921875" bestFit="1" customWidth="1"/>
    <col min="3106" max="3106" width="10" customWidth="1"/>
    <col min="3108" max="3108" width="9.69921875" customWidth="1"/>
    <col min="3109" max="3109" width="9.296875" customWidth="1"/>
    <col min="3110" max="3110" width="10.5" bestFit="1" customWidth="1"/>
    <col min="3117" max="3117" width="9.59765625" customWidth="1"/>
    <col min="3118" max="3118" width="14.69921875" customWidth="1"/>
    <col min="3119" max="3119" width="11.296875" customWidth="1"/>
    <col min="3120" max="3120" width="9.7968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796875" customWidth="1"/>
    <col min="3132" max="3132" width="9.59765625" bestFit="1" customWidth="1"/>
    <col min="3133" max="3133" width="9.296875" customWidth="1"/>
    <col min="3135" max="3135" width="7.19921875" customWidth="1"/>
    <col min="3136" max="3136" width="0" hidden="1" customWidth="1"/>
    <col min="3138" max="3138" width="9.296875" customWidth="1"/>
    <col min="3139" max="3139" width="10.296875" customWidth="1"/>
    <col min="3140" max="3140" width="15.796875" customWidth="1"/>
    <col min="3142" max="3142" width="6.69921875" customWidth="1"/>
    <col min="3329" max="3329" width="0.296875" customWidth="1"/>
    <col min="3330" max="3330" width="17.19921875" customWidth="1"/>
    <col min="3331" max="3331" width="13.296875" customWidth="1"/>
    <col min="3332" max="3332" width="9.59765625" customWidth="1"/>
    <col min="3333" max="3333" width="13.2968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796875" customWidth="1"/>
    <col min="3343" max="3343" width="11.296875" customWidth="1"/>
    <col min="3344" max="3344" width="11.69921875" customWidth="1"/>
    <col min="3345" max="3345" width="10.796875" customWidth="1"/>
    <col min="3346" max="3346" width="16" customWidth="1"/>
    <col min="3347" max="3347" width="14.09765625" customWidth="1"/>
    <col min="3348" max="3348" width="11.69921875" customWidth="1"/>
    <col min="3349" max="3349" width="13.2968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296875" customWidth="1"/>
    <col min="3359" max="3360" width="13.19921875" customWidth="1"/>
    <col min="3361" max="3361" width="8.19921875" bestFit="1" customWidth="1"/>
    <col min="3362" max="3362" width="10" customWidth="1"/>
    <col min="3364" max="3364" width="9.69921875" customWidth="1"/>
    <col min="3365" max="3365" width="9.296875" customWidth="1"/>
    <col min="3366" max="3366" width="10.5" bestFit="1" customWidth="1"/>
    <col min="3373" max="3373" width="9.59765625" customWidth="1"/>
    <col min="3374" max="3374" width="14.69921875" customWidth="1"/>
    <col min="3375" max="3375" width="11.296875" customWidth="1"/>
    <col min="3376" max="3376" width="9.7968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796875" customWidth="1"/>
    <col min="3388" max="3388" width="9.59765625" bestFit="1" customWidth="1"/>
    <col min="3389" max="3389" width="9.296875" customWidth="1"/>
    <col min="3391" max="3391" width="7.19921875" customWidth="1"/>
    <col min="3392" max="3392" width="0" hidden="1" customWidth="1"/>
    <col min="3394" max="3394" width="9.296875" customWidth="1"/>
    <col min="3395" max="3395" width="10.296875" customWidth="1"/>
    <col min="3396" max="3396" width="15.796875" customWidth="1"/>
    <col min="3398" max="3398" width="6.69921875" customWidth="1"/>
    <col min="3585" max="3585" width="0.296875" customWidth="1"/>
    <col min="3586" max="3586" width="17.19921875" customWidth="1"/>
    <col min="3587" max="3587" width="13.296875" customWidth="1"/>
    <col min="3588" max="3588" width="9.59765625" customWidth="1"/>
    <col min="3589" max="3589" width="13.2968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796875" customWidth="1"/>
    <col min="3599" max="3599" width="11.296875" customWidth="1"/>
    <col min="3600" max="3600" width="11.69921875" customWidth="1"/>
    <col min="3601" max="3601" width="10.796875" customWidth="1"/>
    <col min="3602" max="3602" width="16" customWidth="1"/>
    <col min="3603" max="3603" width="14.09765625" customWidth="1"/>
    <col min="3604" max="3604" width="11.69921875" customWidth="1"/>
    <col min="3605" max="3605" width="13.2968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296875" customWidth="1"/>
    <col min="3615" max="3616" width="13.19921875" customWidth="1"/>
    <col min="3617" max="3617" width="8.19921875" bestFit="1" customWidth="1"/>
    <col min="3618" max="3618" width="10" customWidth="1"/>
    <col min="3620" max="3620" width="9.69921875" customWidth="1"/>
    <col min="3621" max="3621" width="9.296875" customWidth="1"/>
    <col min="3622" max="3622" width="10.5" bestFit="1" customWidth="1"/>
    <col min="3629" max="3629" width="9.59765625" customWidth="1"/>
    <col min="3630" max="3630" width="14.69921875" customWidth="1"/>
    <col min="3631" max="3631" width="11.296875" customWidth="1"/>
    <col min="3632" max="3632" width="9.7968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796875" customWidth="1"/>
    <col min="3644" max="3644" width="9.59765625" bestFit="1" customWidth="1"/>
    <col min="3645" max="3645" width="9.296875" customWidth="1"/>
    <col min="3647" max="3647" width="7.19921875" customWidth="1"/>
    <col min="3648" max="3648" width="0" hidden="1" customWidth="1"/>
    <col min="3650" max="3650" width="9.296875" customWidth="1"/>
    <col min="3651" max="3651" width="10.296875" customWidth="1"/>
    <col min="3652" max="3652" width="15.796875" customWidth="1"/>
    <col min="3654" max="3654" width="6.69921875" customWidth="1"/>
    <col min="3841" max="3841" width="0.296875" customWidth="1"/>
    <col min="3842" max="3842" width="17.19921875" customWidth="1"/>
    <col min="3843" max="3843" width="13.296875" customWidth="1"/>
    <col min="3844" max="3844" width="9.59765625" customWidth="1"/>
    <col min="3845" max="3845" width="13.2968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796875" customWidth="1"/>
    <col min="3855" max="3855" width="11.296875" customWidth="1"/>
    <col min="3856" max="3856" width="11.69921875" customWidth="1"/>
    <col min="3857" max="3857" width="10.796875" customWidth="1"/>
    <col min="3858" max="3858" width="16" customWidth="1"/>
    <col min="3859" max="3859" width="14.09765625" customWidth="1"/>
    <col min="3860" max="3860" width="11.69921875" customWidth="1"/>
    <col min="3861" max="3861" width="13.2968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296875" customWidth="1"/>
    <col min="3871" max="3872" width="13.19921875" customWidth="1"/>
    <col min="3873" max="3873" width="8.19921875" bestFit="1" customWidth="1"/>
    <col min="3874" max="3874" width="10" customWidth="1"/>
    <col min="3876" max="3876" width="9.69921875" customWidth="1"/>
    <col min="3877" max="3877" width="9.296875" customWidth="1"/>
    <col min="3878" max="3878" width="10.5" bestFit="1" customWidth="1"/>
    <col min="3885" max="3885" width="9.59765625" customWidth="1"/>
    <col min="3886" max="3886" width="14.69921875" customWidth="1"/>
    <col min="3887" max="3887" width="11.296875" customWidth="1"/>
    <col min="3888" max="3888" width="9.7968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796875" customWidth="1"/>
    <col min="3900" max="3900" width="9.59765625" bestFit="1" customWidth="1"/>
    <col min="3901" max="3901" width="9.296875" customWidth="1"/>
    <col min="3903" max="3903" width="7.19921875" customWidth="1"/>
    <col min="3904" max="3904" width="0" hidden="1" customWidth="1"/>
    <col min="3906" max="3906" width="9.296875" customWidth="1"/>
    <col min="3907" max="3907" width="10.296875" customWidth="1"/>
    <col min="3908" max="3908" width="15.796875" customWidth="1"/>
    <col min="3910" max="3910" width="6.69921875" customWidth="1"/>
    <col min="4097" max="4097" width="0.296875" customWidth="1"/>
    <col min="4098" max="4098" width="17.19921875" customWidth="1"/>
    <col min="4099" max="4099" width="13.296875" customWidth="1"/>
    <col min="4100" max="4100" width="9.59765625" customWidth="1"/>
    <col min="4101" max="4101" width="13.2968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796875" customWidth="1"/>
    <col min="4111" max="4111" width="11.296875" customWidth="1"/>
    <col min="4112" max="4112" width="11.69921875" customWidth="1"/>
    <col min="4113" max="4113" width="10.796875" customWidth="1"/>
    <col min="4114" max="4114" width="16" customWidth="1"/>
    <col min="4115" max="4115" width="14.09765625" customWidth="1"/>
    <col min="4116" max="4116" width="11.69921875" customWidth="1"/>
    <col min="4117" max="4117" width="13.2968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296875" customWidth="1"/>
    <col min="4127" max="4128" width="13.19921875" customWidth="1"/>
    <col min="4129" max="4129" width="8.19921875" bestFit="1" customWidth="1"/>
    <col min="4130" max="4130" width="10" customWidth="1"/>
    <col min="4132" max="4132" width="9.69921875" customWidth="1"/>
    <col min="4133" max="4133" width="9.296875" customWidth="1"/>
    <col min="4134" max="4134" width="10.5" bestFit="1" customWidth="1"/>
    <col min="4141" max="4141" width="9.59765625" customWidth="1"/>
    <col min="4142" max="4142" width="14.69921875" customWidth="1"/>
    <col min="4143" max="4143" width="11.296875" customWidth="1"/>
    <col min="4144" max="4144" width="9.7968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796875" customWidth="1"/>
    <col min="4156" max="4156" width="9.59765625" bestFit="1" customWidth="1"/>
    <col min="4157" max="4157" width="9.296875" customWidth="1"/>
    <col min="4159" max="4159" width="7.19921875" customWidth="1"/>
    <col min="4160" max="4160" width="0" hidden="1" customWidth="1"/>
    <col min="4162" max="4162" width="9.296875" customWidth="1"/>
    <col min="4163" max="4163" width="10.296875" customWidth="1"/>
    <col min="4164" max="4164" width="15.796875" customWidth="1"/>
    <col min="4166" max="4166" width="6.69921875" customWidth="1"/>
    <col min="4353" max="4353" width="0.296875" customWidth="1"/>
    <col min="4354" max="4354" width="17.19921875" customWidth="1"/>
    <col min="4355" max="4355" width="13.296875" customWidth="1"/>
    <col min="4356" max="4356" width="9.59765625" customWidth="1"/>
    <col min="4357" max="4357" width="13.2968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796875" customWidth="1"/>
    <col min="4367" max="4367" width="11.296875" customWidth="1"/>
    <col min="4368" max="4368" width="11.69921875" customWidth="1"/>
    <col min="4369" max="4369" width="10.796875" customWidth="1"/>
    <col min="4370" max="4370" width="16" customWidth="1"/>
    <col min="4371" max="4371" width="14.09765625" customWidth="1"/>
    <col min="4372" max="4372" width="11.69921875" customWidth="1"/>
    <col min="4373" max="4373" width="13.2968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296875" customWidth="1"/>
    <col min="4383" max="4384" width="13.19921875" customWidth="1"/>
    <col min="4385" max="4385" width="8.19921875" bestFit="1" customWidth="1"/>
    <col min="4386" max="4386" width="10" customWidth="1"/>
    <col min="4388" max="4388" width="9.69921875" customWidth="1"/>
    <col min="4389" max="4389" width="9.296875" customWidth="1"/>
    <col min="4390" max="4390" width="10.5" bestFit="1" customWidth="1"/>
    <col min="4397" max="4397" width="9.59765625" customWidth="1"/>
    <col min="4398" max="4398" width="14.69921875" customWidth="1"/>
    <col min="4399" max="4399" width="11.296875" customWidth="1"/>
    <col min="4400" max="4400" width="9.7968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796875" customWidth="1"/>
    <col min="4412" max="4412" width="9.59765625" bestFit="1" customWidth="1"/>
    <col min="4413" max="4413" width="9.296875" customWidth="1"/>
    <col min="4415" max="4415" width="7.19921875" customWidth="1"/>
    <col min="4416" max="4416" width="0" hidden="1" customWidth="1"/>
    <col min="4418" max="4418" width="9.296875" customWidth="1"/>
    <col min="4419" max="4419" width="10.296875" customWidth="1"/>
    <col min="4420" max="4420" width="15.796875" customWidth="1"/>
    <col min="4422" max="4422" width="6.69921875" customWidth="1"/>
    <col min="4609" max="4609" width="0.296875" customWidth="1"/>
    <col min="4610" max="4610" width="17.19921875" customWidth="1"/>
    <col min="4611" max="4611" width="13.296875" customWidth="1"/>
    <col min="4612" max="4612" width="9.59765625" customWidth="1"/>
    <col min="4613" max="4613" width="13.2968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796875" customWidth="1"/>
    <col min="4623" max="4623" width="11.296875" customWidth="1"/>
    <col min="4624" max="4624" width="11.69921875" customWidth="1"/>
    <col min="4625" max="4625" width="10.796875" customWidth="1"/>
    <col min="4626" max="4626" width="16" customWidth="1"/>
    <col min="4627" max="4627" width="14.09765625" customWidth="1"/>
    <col min="4628" max="4628" width="11.69921875" customWidth="1"/>
    <col min="4629" max="4629" width="13.2968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296875" customWidth="1"/>
    <col min="4639" max="4640" width="13.19921875" customWidth="1"/>
    <col min="4641" max="4641" width="8.19921875" bestFit="1" customWidth="1"/>
    <col min="4642" max="4642" width="10" customWidth="1"/>
    <col min="4644" max="4644" width="9.69921875" customWidth="1"/>
    <col min="4645" max="4645" width="9.296875" customWidth="1"/>
    <col min="4646" max="4646" width="10.5" bestFit="1" customWidth="1"/>
    <col min="4653" max="4653" width="9.59765625" customWidth="1"/>
    <col min="4654" max="4654" width="14.69921875" customWidth="1"/>
    <col min="4655" max="4655" width="11.296875" customWidth="1"/>
    <col min="4656" max="4656" width="9.7968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796875" customWidth="1"/>
    <col min="4668" max="4668" width="9.59765625" bestFit="1" customWidth="1"/>
    <col min="4669" max="4669" width="9.296875" customWidth="1"/>
    <col min="4671" max="4671" width="7.19921875" customWidth="1"/>
    <col min="4672" max="4672" width="0" hidden="1" customWidth="1"/>
    <col min="4674" max="4674" width="9.296875" customWidth="1"/>
    <col min="4675" max="4675" width="10.296875" customWidth="1"/>
    <col min="4676" max="4676" width="15.796875" customWidth="1"/>
    <col min="4678" max="4678" width="6.69921875" customWidth="1"/>
    <col min="4865" max="4865" width="0.296875" customWidth="1"/>
    <col min="4866" max="4866" width="17.19921875" customWidth="1"/>
    <col min="4867" max="4867" width="13.296875" customWidth="1"/>
    <col min="4868" max="4868" width="9.59765625" customWidth="1"/>
    <col min="4869" max="4869" width="13.2968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796875" customWidth="1"/>
    <col min="4879" max="4879" width="11.296875" customWidth="1"/>
    <col min="4880" max="4880" width="11.69921875" customWidth="1"/>
    <col min="4881" max="4881" width="10.796875" customWidth="1"/>
    <col min="4882" max="4882" width="16" customWidth="1"/>
    <col min="4883" max="4883" width="14.09765625" customWidth="1"/>
    <col min="4884" max="4884" width="11.69921875" customWidth="1"/>
    <col min="4885" max="4885" width="13.2968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296875" customWidth="1"/>
    <col min="4895" max="4896" width="13.19921875" customWidth="1"/>
    <col min="4897" max="4897" width="8.19921875" bestFit="1" customWidth="1"/>
    <col min="4898" max="4898" width="10" customWidth="1"/>
    <col min="4900" max="4900" width="9.69921875" customWidth="1"/>
    <col min="4901" max="4901" width="9.296875" customWidth="1"/>
    <col min="4902" max="4902" width="10.5" bestFit="1" customWidth="1"/>
    <col min="4909" max="4909" width="9.59765625" customWidth="1"/>
    <col min="4910" max="4910" width="14.69921875" customWidth="1"/>
    <col min="4911" max="4911" width="11.296875" customWidth="1"/>
    <col min="4912" max="4912" width="9.7968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796875" customWidth="1"/>
    <col min="4924" max="4924" width="9.59765625" bestFit="1" customWidth="1"/>
    <col min="4925" max="4925" width="9.296875" customWidth="1"/>
    <col min="4927" max="4927" width="7.19921875" customWidth="1"/>
    <col min="4928" max="4928" width="0" hidden="1" customWidth="1"/>
    <col min="4930" max="4930" width="9.296875" customWidth="1"/>
    <col min="4931" max="4931" width="10.296875" customWidth="1"/>
    <col min="4932" max="4932" width="15.796875" customWidth="1"/>
    <col min="4934" max="4934" width="6.69921875" customWidth="1"/>
    <col min="5121" max="5121" width="0.296875" customWidth="1"/>
    <col min="5122" max="5122" width="17.19921875" customWidth="1"/>
    <col min="5123" max="5123" width="13.296875" customWidth="1"/>
    <col min="5124" max="5124" width="9.59765625" customWidth="1"/>
    <col min="5125" max="5125" width="13.2968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796875" customWidth="1"/>
    <col min="5135" max="5135" width="11.296875" customWidth="1"/>
    <col min="5136" max="5136" width="11.69921875" customWidth="1"/>
    <col min="5137" max="5137" width="10.796875" customWidth="1"/>
    <col min="5138" max="5138" width="16" customWidth="1"/>
    <col min="5139" max="5139" width="14.09765625" customWidth="1"/>
    <col min="5140" max="5140" width="11.69921875" customWidth="1"/>
    <col min="5141" max="5141" width="13.2968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296875" customWidth="1"/>
    <col min="5151" max="5152" width="13.19921875" customWidth="1"/>
    <col min="5153" max="5153" width="8.19921875" bestFit="1" customWidth="1"/>
    <col min="5154" max="5154" width="10" customWidth="1"/>
    <col min="5156" max="5156" width="9.69921875" customWidth="1"/>
    <col min="5157" max="5157" width="9.296875" customWidth="1"/>
    <col min="5158" max="5158" width="10.5" bestFit="1" customWidth="1"/>
    <col min="5165" max="5165" width="9.59765625" customWidth="1"/>
    <col min="5166" max="5166" width="14.69921875" customWidth="1"/>
    <col min="5167" max="5167" width="11.296875" customWidth="1"/>
    <col min="5168" max="5168" width="9.7968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796875" customWidth="1"/>
    <col min="5180" max="5180" width="9.59765625" bestFit="1" customWidth="1"/>
    <col min="5181" max="5181" width="9.296875" customWidth="1"/>
    <col min="5183" max="5183" width="7.19921875" customWidth="1"/>
    <col min="5184" max="5184" width="0" hidden="1" customWidth="1"/>
    <col min="5186" max="5186" width="9.296875" customWidth="1"/>
    <col min="5187" max="5187" width="10.296875" customWidth="1"/>
    <col min="5188" max="5188" width="15.796875" customWidth="1"/>
    <col min="5190" max="5190" width="6.69921875" customWidth="1"/>
    <col min="5377" max="5377" width="0.296875" customWidth="1"/>
    <col min="5378" max="5378" width="17.19921875" customWidth="1"/>
    <col min="5379" max="5379" width="13.296875" customWidth="1"/>
    <col min="5380" max="5380" width="9.59765625" customWidth="1"/>
    <col min="5381" max="5381" width="13.2968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796875" customWidth="1"/>
    <col min="5391" max="5391" width="11.296875" customWidth="1"/>
    <col min="5392" max="5392" width="11.69921875" customWidth="1"/>
    <col min="5393" max="5393" width="10.796875" customWidth="1"/>
    <col min="5394" max="5394" width="16" customWidth="1"/>
    <col min="5395" max="5395" width="14.09765625" customWidth="1"/>
    <col min="5396" max="5396" width="11.69921875" customWidth="1"/>
    <col min="5397" max="5397" width="13.2968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296875" customWidth="1"/>
    <col min="5407" max="5408" width="13.19921875" customWidth="1"/>
    <col min="5409" max="5409" width="8.19921875" bestFit="1" customWidth="1"/>
    <col min="5410" max="5410" width="10" customWidth="1"/>
    <col min="5412" max="5412" width="9.69921875" customWidth="1"/>
    <col min="5413" max="5413" width="9.296875" customWidth="1"/>
    <col min="5414" max="5414" width="10.5" bestFit="1" customWidth="1"/>
    <col min="5421" max="5421" width="9.59765625" customWidth="1"/>
    <col min="5422" max="5422" width="14.69921875" customWidth="1"/>
    <col min="5423" max="5423" width="11.296875" customWidth="1"/>
    <col min="5424" max="5424" width="9.7968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796875" customWidth="1"/>
    <col min="5436" max="5436" width="9.59765625" bestFit="1" customWidth="1"/>
    <col min="5437" max="5437" width="9.296875" customWidth="1"/>
    <col min="5439" max="5439" width="7.19921875" customWidth="1"/>
    <col min="5440" max="5440" width="0" hidden="1" customWidth="1"/>
    <col min="5442" max="5442" width="9.296875" customWidth="1"/>
    <col min="5443" max="5443" width="10.296875" customWidth="1"/>
    <col min="5444" max="5444" width="15.796875" customWidth="1"/>
    <col min="5446" max="5446" width="6.69921875" customWidth="1"/>
    <col min="5633" max="5633" width="0.296875" customWidth="1"/>
    <col min="5634" max="5634" width="17.19921875" customWidth="1"/>
    <col min="5635" max="5635" width="13.296875" customWidth="1"/>
    <col min="5636" max="5636" width="9.59765625" customWidth="1"/>
    <col min="5637" max="5637" width="13.2968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796875" customWidth="1"/>
    <col min="5647" max="5647" width="11.296875" customWidth="1"/>
    <col min="5648" max="5648" width="11.69921875" customWidth="1"/>
    <col min="5649" max="5649" width="10.796875" customWidth="1"/>
    <col min="5650" max="5650" width="16" customWidth="1"/>
    <col min="5651" max="5651" width="14.09765625" customWidth="1"/>
    <col min="5652" max="5652" width="11.69921875" customWidth="1"/>
    <col min="5653" max="5653" width="13.2968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296875" customWidth="1"/>
    <col min="5663" max="5664" width="13.19921875" customWidth="1"/>
    <col min="5665" max="5665" width="8.19921875" bestFit="1" customWidth="1"/>
    <col min="5666" max="5666" width="10" customWidth="1"/>
    <col min="5668" max="5668" width="9.69921875" customWidth="1"/>
    <col min="5669" max="5669" width="9.296875" customWidth="1"/>
    <col min="5670" max="5670" width="10.5" bestFit="1" customWidth="1"/>
    <col min="5677" max="5677" width="9.59765625" customWidth="1"/>
    <col min="5678" max="5678" width="14.69921875" customWidth="1"/>
    <col min="5679" max="5679" width="11.296875" customWidth="1"/>
    <col min="5680" max="5680" width="9.7968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796875" customWidth="1"/>
    <col min="5692" max="5692" width="9.59765625" bestFit="1" customWidth="1"/>
    <col min="5693" max="5693" width="9.296875" customWidth="1"/>
    <col min="5695" max="5695" width="7.19921875" customWidth="1"/>
    <col min="5696" max="5696" width="0" hidden="1" customWidth="1"/>
    <col min="5698" max="5698" width="9.296875" customWidth="1"/>
    <col min="5699" max="5699" width="10.296875" customWidth="1"/>
    <col min="5700" max="5700" width="15.796875" customWidth="1"/>
    <col min="5702" max="5702" width="6.69921875" customWidth="1"/>
    <col min="5889" max="5889" width="0.296875" customWidth="1"/>
    <col min="5890" max="5890" width="17.19921875" customWidth="1"/>
    <col min="5891" max="5891" width="13.296875" customWidth="1"/>
    <col min="5892" max="5892" width="9.59765625" customWidth="1"/>
    <col min="5893" max="5893" width="13.2968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796875" customWidth="1"/>
    <col min="5903" max="5903" width="11.296875" customWidth="1"/>
    <col min="5904" max="5904" width="11.69921875" customWidth="1"/>
    <col min="5905" max="5905" width="10.796875" customWidth="1"/>
    <col min="5906" max="5906" width="16" customWidth="1"/>
    <col min="5907" max="5907" width="14.09765625" customWidth="1"/>
    <col min="5908" max="5908" width="11.69921875" customWidth="1"/>
    <col min="5909" max="5909" width="13.2968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296875" customWidth="1"/>
    <col min="5919" max="5920" width="13.19921875" customWidth="1"/>
    <col min="5921" max="5921" width="8.19921875" bestFit="1" customWidth="1"/>
    <col min="5922" max="5922" width="10" customWidth="1"/>
    <col min="5924" max="5924" width="9.69921875" customWidth="1"/>
    <col min="5925" max="5925" width="9.296875" customWidth="1"/>
    <col min="5926" max="5926" width="10.5" bestFit="1" customWidth="1"/>
    <col min="5933" max="5933" width="9.59765625" customWidth="1"/>
    <col min="5934" max="5934" width="14.69921875" customWidth="1"/>
    <col min="5935" max="5935" width="11.296875" customWidth="1"/>
    <col min="5936" max="5936" width="9.7968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796875" customWidth="1"/>
    <col min="5948" max="5948" width="9.59765625" bestFit="1" customWidth="1"/>
    <col min="5949" max="5949" width="9.296875" customWidth="1"/>
    <col min="5951" max="5951" width="7.19921875" customWidth="1"/>
    <col min="5952" max="5952" width="0" hidden="1" customWidth="1"/>
    <col min="5954" max="5954" width="9.296875" customWidth="1"/>
    <col min="5955" max="5955" width="10.296875" customWidth="1"/>
    <col min="5956" max="5956" width="15.796875" customWidth="1"/>
    <col min="5958" max="5958" width="6.69921875" customWidth="1"/>
    <col min="6145" max="6145" width="0.296875" customWidth="1"/>
    <col min="6146" max="6146" width="17.19921875" customWidth="1"/>
    <col min="6147" max="6147" width="13.296875" customWidth="1"/>
    <col min="6148" max="6148" width="9.59765625" customWidth="1"/>
    <col min="6149" max="6149" width="13.2968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796875" customWidth="1"/>
    <col min="6159" max="6159" width="11.296875" customWidth="1"/>
    <col min="6160" max="6160" width="11.69921875" customWidth="1"/>
    <col min="6161" max="6161" width="10.796875" customWidth="1"/>
    <col min="6162" max="6162" width="16" customWidth="1"/>
    <col min="6163" max="6163" width="14.09765625" customWidth="1"/>
    <col min="6164" max="6164" width="11.69921875" customWidth="1"/>
    <col min="6165" max="6165" width="13.2968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296875" customWidth="1"/>
    <col min="6175" max="6176" width="13.19921875" customWidth="1"/>
    <col min="6177" max="6177" width="8.19921875" bestFit="1" customWidth="1"/>
    <col min="6178" max="6178" width="10" customWidth="1"/>
    <col min="6180" max="6180" width="9.69921875" customWidth="1"/>
    <col min="6181" max="6181" width="9.296875" customWidth="1"/>
    <col min="6182" max="6182" width="10.5" bestFit="1" customWidth="1"/>
    <col min="6189" max="6189" width="9.59765625" customWidth="1"/>
    <col min="6190" max="6190" width="14.69921875" customWidth="1"/>
    <col min="6191" max="6191" width="11.296875" customWidth="1"/>
    <col min="6192" max="6192" width="9.7968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796875" customWidth="1"/>
    <col min="6204" max="6204" width="9.59765625" bestFit="1" customWidth="1"/>
    <col min="6205" max="6205" width="9.296875" customWidth="1"/>
    <col min="6207" max="6207" width="7.19921875" customWidth="1"/>
    <col min="6208" max="6208" width="0" hidden="1" customWidth="1"/>
    <col min="6210" max="6210" width="9.296875" customWidth="1"/>
    <col min="6211" max="6211" width="10.296875" customWidth="1"/>
    <col min="6212" max="6212" width="15.796875" customWidth="1"/>
    <col min="6214" max="6214" width="6.69921875" customWidth="1"/>
    <col min="6401" max="6401" width="0.296875" customWidth="1"/>
    <col min="6402" max="6402" width="17.19921875" customWidth="1"/>
    <col min="6403" max="6403" width="13.296875" customWidth="1"/>
    <col min="6404" max="6404" width="9.59765625" customWidth="1"/>
    <col min="6405" max="6405" width="13.2968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796875" customWidth="1"/>
    <col min="6415" max="6415" width="11.296875" customWidth="1"/>
    <col min="6416" max="6416" width="11.69921875" customWidth="1"/>
    <col min="6417" max="6417" width="10.796875" customWidth="1"/>
    <col min="6418" max="6418" width="16" customWidth="1"/>
    <col min="6419" max="6419" width="14.09765625" customWidth="1"/>
    <col min="6420" max="6420" width="11.69921875" customWidth="1"/>
    <col min="6421" max="6421" width="13.2968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296875" customWidth="1"/>
    <col min="6431" max="6432" width="13.19921875" customWidth="1"/>
    <col min="6433" max="6433" width="8.19921875" bestFit="1" customWidth="1"/>
    <col min="6434" max="6434" width="10" customWidth="1"/>
    <col min="6436" max="6436" width="9.69921875" customWidth="1"/>
    <col min="6437" max="6437" width="9.296875" customWidth="1"/>
    <col min="6438" max="6438" width="10.5" bestFit="1" customWidth="1"/>
    <col min="6445" max="6445" width="9.59765625" customWidth="1"/>
    <col min="6446" max="6446" width="14.69921875" customWidth="1"/>
    <col min="6447" max="6447" width="11.296875" customWidth="1"/>
    <col min="6448" max="6448" width="9.7968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796875" customWidth="1"/>
    <col min="6460" max="6460" width="9.59765625" bestFit="1" customWidth="1"/>
    <col min="6461" max="6461" width="9.296875" customWidth="1"/>
    <col min="6463" max="6463" width="7.19921875" customWidth="1"/>
    <col min="6464" max="6464" width="0" hidden="1" customWidth="1"/>
    <col min="6466" max="6466" width="9.296875" customWidth="1"/>
    <col min="6467" max="6467" width="10.296875" customWidth="1"/>
    <col min="6468" max="6468" width="15.796875" customWidth="1"/>
    <col min="6470" max="6470" width="6.69921875" customWidth="1"/>
    <col min="6657" max="6657" width="0.296875" customWidth="1"/>
    <col min="6658" max="6658" width="17.19921875" customWidth="1"/>
    <col min="6659" max="6659" width="13.296875" customWidth="1"/>
    <col min="6660" max="6660" width="9.59765625" customWidth="1"/>
    <col min="6661" max="6661" width="13.2968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796875" customWidth="1"/>
    <col min="6671" max="6671" width="11.296875" customWidth="1"/>
    <col min="6672" max="6672" width="11.69921875" customWidth="1"/>
    <col min="6673" max="6673" width="10.796875" customWidth="1"/>
    <col min="6674" max="6674" width="16" customWidth="1"/>
    <col min="6675" max="6675" width="14.09765625" customWidth="1"/>
    <col min="6676" max="6676" width="11.69921875" customWidth="1"/>
    <col min="6677" max="6677" width="13.2968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296875" customWidth="1"/>
    <col min="6687" max="6688" width="13.19921875" customWidth="1"/>
    <col min="6689" max="6689" width="8.19921875" bestFit="1" customWidth="1"/>
    <col min="6690" max="6690" width="10" customWidth="1"/>
    <col min="6692" max="6692" width="9.69921875" customWidth="1"/>
    <col min="6693" max="6693" width="9.296875" customWidth="1"/>
    <col min="6694" max="6694" width="10.5" bestFit="1" customWidth="1"/>
    <col min="6701" max="6701" width="9.59765625" customWidth="1"/>
    <col min="6702" max="6702" width="14.69921875" customWidth="1"/>
    <col min="6703" max="6703" width="11.296875" customWidth="1"/>
    <col min="6704" max="6704" width="9.7968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796875" customWidth="1"/>
    <col min="6716" max="6716" width="9.59765625" bestFit="1" customWidth="1"/>
    <col min="6717" max="6717" width="9.296875" customWidth="1"/>
    <col min="6719" max="6719" width="7.19921875" customWidth="1"/>
    <col min="6720" max="6720" width="0" hidden="1" customWidth="1"/>
    <col min="6722" max="6722" width="9.296875" customWidth="1"/>
    <col min="6723" max="6723" width="10.296875" customWidth="1"/>
    <col min="6724" max="6724" width="15.796875" customWidth="1"/>
    <col min="6726" max="6726" width="6.69921875" customWidth="1"/>
    <col min="6913" max="6913" width="0.296875" customWidth="1"/>
    <col min="6914" max="6914" width="17.19921875" customWidth="1"/>
    <col min="6915" max="6915" width="13.296875" customWidth="1"/>
    <col min="6916" max="6916" width="9.59765625" customWidth="1"/>
    <col min="6917" max="6917" width="13.2968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796875" customWidth="1"/>
    <col min="6927" max="6927" width="11.296875" customWidth="1"/>
    <col min="6928" max="6928" width="11.69921875" customWidth="1"/>
    <col min="6929" max="6929" width="10.796875" customWidth="1"/>
    <col min="6930" max="6930" width="16" customWidth="1"/>
    <col min="6931" max="6931" width="14.09765625" customWidth="1"/>
    <col min="6932" max="6932" width="11.69921875" customWidth="1"/>
    <col min="6933" max="6933" width="13.2968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296875" customWidth="1"/>
    <col min="6943" max="6944" width="13.19921875" customWidth="1"/>
    <col min="6945" max="6945" width="8.19921875" bestFit="1" customWidth="1"/>
    <col min="6946" max="6946" width="10" customWidth="1"/>
    <col min="6948" max="6948" width="9.69921875" customWidth="1"/>
    <col min="6949" max="6949" width="9.296875" customWidth="1"/>
    <col min="6950" max="6950" width="10.5" bestFit="1" customWidth="1"/>
    <col min="6957" max="6957" width="9.59765625" customWidth="1"/>
    <col min="6958" max="6958" width="14.69921875" customWidth="1"/>
    <col min="6959" max="6959" width="11.296875" customWidth="1"/>
    <col min="6960" max="6960" width="9.7968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796875" customWidth="1"/>
    <col min="6972" max="6972" width="9.59765625" bestFit="1" customWidth="1"/>
    <col min="6973" max="6973" width="9.296875" customWidth="1"/>
    <col min="6975" max="6975" width="7.19921875" customWidth="1"/>
    <col min="6976" max="6976" width="0" hidden="1" customWidth="1"/>
    <col min="6978" max="6978" width="9.296875" customWidth="1"/>
    <col min="6979" max="6979" width="10.296875" customWidth="1"/>
    <col min="6980" max="6980" width="15.796875" customWidth="1"/>
    <col min="6982" max="6982" width="6.69921875" customWidth="1"/>
    <col min="7169" max="7169" width="0.296875" customWidth="1"/>
    <col min="7170" max="7170" width="17.19921875" customWidth="1"/>
    <col min="7171" max="7171" width="13.296875" customWidth="1"/>
    <col min="7172" max="7172" width="9.59765625" customWidth="1"/>
    <col min="7173" max="7173" width="13.2968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796875" customWidth="1"/>
    <col min="7183" max="7183" width="11.296875" customWidth="1"/>
    <col min="7184" max="7184" width="11.69921875" customWidth="1"/>
    <col min="7185" max="7185" width="10.796875" customWidth="1"/>
    <col min="7186" max="7186" width="16" customWidth="1"/>
    <col min="7187" max="7187" width="14.09765625" customWidth="1"/>
    <col min="7188" max="7188" width="11.69921875" customWidth="1"/>
    <col min="7189" max="7189" width="13.2968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296875" customWidth="1"/>
    <col min="7199" max="7200" width="13.19921875" customWidth="1"/>
    <col min="7201" max="7201" width="8.19921875" bestFit="1" customWidth="1"/>
    <col min="7202" max="7202" width="10" customWidth="1"/>
    <col min="7204" max="7204" width="9.69921875" customWidth="1"/>
    <col min="7205" max="7205" width="9.296875" customWidth="1"/>
    <col min="7206" max="7206" width="10.5" bestFit="1" customWidth="1"/>
    <col min="7213" max="7213" width="9.59765625" customWidth="1"/>
    <col min="7214" max="7214" width="14.69921875" customWidth="1"/>
    <col min="7215" max="7215" width="11.296875" customWidth="1"/>
    <col min="7216" max="7216" width="9.7968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796875" customWidth="1"/>
    <col min="7228" max="7228" width="9.59765625" bestFit="1" customWidth="1"/>
    <col min="7229" max="7229" width="9.296875" customWidth="1"/>
    <col min="7231" max="7231" width="7.19921875" customWidth="1"/>
    <col min="7232" max="7232" width="0" hidden="1" customWidth="1"/>
    <col min="7234" max="7234" width="9.296875" customWidth="1"/>
    <col min="7235" max="7235" width="10.296875" customWidth="1"/>
    <col min="7236" max="7236" width="15.796875" customWidth="1"/>
    <col min="7238" max="7238" width="6.69921875" customWidth="1"/>
    <col min="7425" max="7425" width="0.296875" customWidth="1"/>
    <col min="7426" max="7426" width="17.19921875" customWidth="1"/>
    <col min="7427" max="7427" width="13.296875" customWidth="1"/>
    <col min="7428" max="7428" width="9.59765625" customWidth="1"/>
    <col min="7429" max="7429" width="13.2968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796875" customWidth="1"/>
    <col min="7439" max="7439" width="11.296875" customWidth="1"/>
    <col min="7440" max="7440" width="11.69921875" customWidth="1"/>
    <col min="7441" max="7441" width="10.796875" customWidth="1"/>
    <col min="7442" max="7442" width="16" customWidth="1"/>
    <col min="7443" max="7443" width="14.09765625" customWidth="1"/>
    <col min="7444" max="7444" width="11.69921875" customWidth="1"/>
    <col min="7445" max="7445" width="13.2968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296875" customWidth="1"/>
    <col min="7455" max="7456" width="13.19921875" customWidth="1"/>
    <col min="7457" max="7457" width="8.19921875" bestFit="1" customWidth="1"/>
    <col min="7458" max="7458" width="10" customWidth="1"/>
    <col min="7460" max="7460" width="9.69921875" customWidth="1"/>
    <col min="7461" max="7461" width="9.296875" customWidth="1"/>
    <col min="7462" max="7462" width="10.5" bestFit="1" customWidth="1"/>
    <col min="7469" max="7469" width="9.59765625" customWidth="1"/>
    <col min="7470" max="7470" width="14.69921875" customWidth="1"/>
    <col min="7471" max="7471" width="11.296875" customWidth="1"/>
    <col min="7472" max="7472" width="9.7968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796875" customWidth="1"/>
    <col min="7484" max="7484" width="9.59765625" bestFit="1" customWidth="1"/>
    <col min="7485" max="7485" width="9.296875" customWidth="1"/>
    <col min="7487" max="7487" width="7.19921875" customWidth="1"/>
    <col min="7488" max="7488" width="0" hidden="1" customWidth="1"/>
    <col min="7490" max="7490" width="9.296875" customWidth="1"/>
    <col min="7491" max="7491" width="10.296875" customWidth="1"/>
    <col min="7492" max="7492" width="15.796875" customWidth="1"/>
    <col min="7494" max="7494" width="6.69921875" customWidth="1"/>
    <col min="7681" max="7681" width="0.296875" customWidth="1"/>
    <col min="7682" max="7682" width="17.19921875" customWidth="1"/>
    <col min="7683" max="7683" width="13.296875" customWidth="1"/>
    <col min="7684" max="7684" width="9.59765625" customWidth="1"/>
    <col min="7685" max="7685" width="13.2968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796875" customWidth="1"/>
    <col min="7695" max="7695" width="11.296875" customWidth="1"/>
    <col min="7696" max="7696" width="11.69921875" customWidth="1"/>
    <col min="7697" max="7697" width="10.796875" customWidth="1"/>
    <col min="7698" max="7698" width="16" customWidth="1"/>
    <col min="7699" max="7699" width="14.09765625" customWidth="1"/>
    <col min="7700" max="7700" width="11.69921875" customWidth="1"/>
    <col min="7701" max="7701" width="13.2968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296875" customWidth="1"/>
    <col min="7711" max="7712" width="13.19921875" customWidth="1"/>
    <col min="7713" max="7713" width="8.19921875" bestFit="1" customWidth="1"/>
    <col min="7714" max="7714" width="10" customWidth="1"/>
    <col min="7716" max="7716" width="9.69921875" customWidth="1"/>
    <col min="7717" max="7717" width="9.296875" customWidth="1"/>
    <col min="7718" max="7718" width="10.5" bestFit="1" customWidth="1"/>
    <col min="7725" max="7725" width="9.59765625" customWidth="1"/>
    <col min="7726" max="7726" width="14.69921875" customWidth="1"/>
    <col min="7727" max="7727" width="11.296875" customWidth="1"/>
    <col min="7728" max="7728" width="9.7968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796875" customWidth="1"/>
    <col min="7740" max="7740" width="9.59765625" bestFit="1" customWidth="1"/>
    <col min="7741" max="7741" width="9.296875" customWidth="1"/>
    <col min="7743" max="7743" width="7.19921875" customWidth="1"/>
    <col min="7744" max="7744" width="0" hidden="1" customWidth="1"/>
    <col min="7746" max="7746" width="9.296875" customWidth="1"/>
    <col min="7747" max="7747" width="10.296875" customWidth="1"/>
    <col min="7748" max="7748" width="15.796875" customWidth="1"/>
    <col min="7750" max="7750" width="6.69921875" customWidth="1"/>
    <col min="7937" max="7937" width="0.296875" customWidth="1"/>
    <col min="7938" max="7938" width="17.19921875" customWidth="1"/>
    <col min="7939" max="7939" width="13.296875" customWidth="1"/>
    <col min="7940" max="7940" width="9.59765625" customWidth="1"/>
    <col min="7941" max="7941" width="13.2968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796875" customWidth="1"/>
    <col min="7951" max="7951" width="11.296875" customWidth="1"/>
    <col min="7952" max="7952" width="11.69921875" customWidth="1"/>
    <col min="7953" max="7953" width="10.796875" customWidth="1"/>
    <col min="7954" max="7954" width="16" customWidth="1"/>
    <col min="7955" max="7955" width="14.09765625" customWidth="1"/>
    <col min="7956" max="7956" width="11.69921875" customWidth="1"/>
    <col min="7957" max="7957" width="13.2968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296875" customWidth="1"/>
    <col min="7967" max="7968" width="13.19921875" customWidth="1"/>
    <col min="7969" max="7969" width="8.19921875" bestFit="1" customWidth="1"/>
    <col min="7970" max="7970" width="10" customWidth="1"/>
    <col min="7972" max="7972" width="9.69921875" customWidth="1"/>
    <col min="7973" max="7973" width="9.296875" customWidth="1"/>
    <col min="7974" max="7974" width="10.5" bestFit="1" customWidth="1"/>
    <col min="7981" max="7981" width="9.59765625" customWidth="1"/>
    <col min="7982" max="7982" width="14.69921875" customWidth="1"/>
    <col min="7983" max="7983" width="11.296875" customWidth="1"/>
    <col min="7984" max="7984" width="9.7968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796875" customWidth="1"/>
    <col min="7996" max="7996" width="9.59765625" bestFit="1" customWidth="1"/>
    <col min="7997" max="7997" width="9.296875" customWidth="1"/>
    <col min="7999" max="7999" width="7.19921875" customWidth="1"/>
    <col min="8000" max="8000" width="0" hidden="1" customWidth="1"/>
    <col min="8002" max="8002" width="9.296875" customWidth="1"/>
    <col min="8003" max="8003" width="10.296875" customWidth="1"/>
    <col min="8004" max="8004" width="15.796875" customWidth="1"/>
    <col min="8006" max="8006" width="6.69921875" customWidth="1"/>
    <col min="8193" max="8193" width="0.296875" customWidth="1"/>
    <col min="8194" max="8194" width="17.19921875" customWidth="1"/>
    <col min="8195" max="8195" width="13.296875" customWidth="1"/>
    <col min="8196" max="8196" width="9.59765625" customWidth="1"/>
    <col min="8197" max="8197" width="13.2968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796875" customWidth="1"/>
    <col min="8207" max="8207" width="11.296875" customWidth="1"/>
    <col min="8208" max="8208" width="11.69921875" customWidth="1"/>
    <col min="8209" max="8209" width="10.796875" customWidth="1"/>
    <col min="8210" max="8210" width="16" customWidth="1"/>
    <col min="8211" max="8211" width="14.09765625" customWidth="1"/>
    <col min="8212" max="8212" width="11.69921875" customWidth="1"/>
    <col min="8213" max="8213" width="13.2968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296875" customWidth="1"/>
    <col min="8223" max="8224" width="13.19921875" customWidth="1"/>
    <col min="8225" max="8225" width="8.19921875" bestFit="1" customWidth="1"/>
    <col min="8226" max="8226" width="10" customWidth="1"/>
    <col min="8228" max="8228" width="9.69921875" customWidth="1"/>
    <col min="8229" max="8229" width="9.296875" customWidth="1"/>
    <col min="8230" max="8230" width="10.5" bestFit="1" customWidth="1"/>
    <col min="8237" max="8237" width="9.59765625" customWidth="1"/>
    <col min="8238" max="8238" width="14.69921875" customWidth="1"/>
    <col min="8239" max="8239" width="11.296875" customWidth="1"/>
    <col min="8240" max="8240" width="9.7968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796875" customWidth="1"/>
    <col min="8252" max="8252" width="9.59765625" bestFit="1" customWidth="1"/>
    <col min="8253" max="8253" width="9.296875" customWidth="1"/>
    <col min="8255" max="8255" width="7.19921875" customWidth="1"/>
    <col min="8256" max="8256" width="0" hidden="1" customWidth="1"/>
    <col min="8258" max="8258" width="9.296875" customWidth="1"/>
    <col min="8259" max="8259" width="10.296875" customWidth="1"/>
    <col min="8260" max="8260" width="15.796875" customWidth="1"/>
    <col min="8262" max="8262" width="6.69921875" customWidth="1"/>
    <col min="8449" max="8449" width="0.296875" customWidth="1"/>
    <col min="8450" max="8450" width="17.19921875" customWidth="1"/>
    <col min="8451" max="8451" width="13.296875" customWidth="1"/>
    <col min="8452" max="8452" width="9.59765625" customWidth="1"/>
    <col min="8453" max="8453" width="13.2968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796875" customWidth="1"/>
    <col min="8463" max="8463" width="11.296875" customWidth="1"/>
    <col min="8464" max="8464" width="11.69921875" customWidth="1"/>
    <col min="8465" max="8465" width="10.796875" customWidth="1"/>
    <col min="8466" max="8466" width="16" customWidth="1"/>
    <col min="8467" max="8467" width="14.09765625" customWidth="1"/>
    <col min="8468" max="8468" width="11.69921875" customWidth="1"/>
    <col min="8469" max="8469" width="13.2968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296875" customWidth="1"/>
    <col min="8479" max="8480" width="13.19921875" customWidth="1"/>
    <col min="8481" max="8481" width="8.19921875" bestFit="1" customWidth="1"/>
    <col min="8482" max="8482" width="10" customWidth="1"/>
    <col min="8484" max="8484" width="9.69921875" customWidth="1"/>
    <col min="8485" max="8485" width="9.296875" customWidth="1"/>
    <col min="8486" max="8486" width="10.5" bestFit="1" customWidth="1"/>
    <col min="8493" max="8493" width="9.59765625" customWidth="1"/>
    <col min="8494" max="8494" width="14.69921875" customWidth="1"/>
    <col min="8495" max="8495" width="11.296875" customWidth="1"/>
    <col min="8496" max="8496" width="9.7968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796875" customWidth="1"/>
    <col min="8508" max="8508" width="9.59765625" bestFit="1" customWidth="1"/>
    <col min="8509" max="8509" width="9.296875" customWidth="1"/>
    <col min="8511" max="8511" width="7.19921875" customWidth="1"/>
    <col min="8512" max="8512" width="0" hidden="1" customWidth="1"/>
    <col min="8514" max="8514" width="9.296875" customWidth="1"/>
    <col min="8515" max="8515" width="10.296875" customWidth="1"/>
    <col min="8516" max="8516" width="15.796875" customWidth="1"/>
    <col min="8518" max="8518" width="6.69921875" customWidth="1"/>
    <col min="8705" max="8705" width="0.296875" customWidth="1"/>
    <col min="8706" max="8706" width="17.19921875" customWidth="1"/>
    <col min="8707" max="8707" width="13.296875" customWidth="1"/>
    <col min="8708" max="8708" width="9.59765625" customWidth="1"/>
    <col min="8709" max="8709" width="13.2968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796875" customWidth="1"/>
    <col min="8719" max="8719" width="11.296875" customWidth="1"/>
    <col min="8720" max="8720" width="11.69921875" customWidth="1"/>
    <col min="8721" max="8721" width="10.796875" customWidth="1"/>
    <col min="8722" max="8722" width="16" customWidth="1"/>
    <col min="8723" max="8723" width="14.09765625" customWidth="1"/>
    <col min="8724" max="8724" width="11.69921875" customWidth="1"/>
    <col min="8725" max="8725" width="13.2968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296875" customWidth="1"/>
    <col min="8735" max="8736" width="13.19921875" customWidth="1"/>
    <col min="8737" max="8737" width="8.19921875" bestFit="1" customWidth="1"/>
    <col min="8738" max="8738" width="10" customWidth="1"/>
    <col min="8740" max="8740" width="9.69921875" customWidth="1"/>
    <col min="8741" max="8741" width="9.296875" customWidth="1"/>
    <col min="8742" max="8742" width="10.5" bestFit="1" customWidth="1"/>
    <col min="8749" max="8749" width="9.59765625" customWidth="1"/>
    <col min="8750" max="8750" width="14.69921875" customWidth="1"/>
    <col min="8751" max="8751" width="11.296875" customWidth="1"/>
    <col min="8752" max="8752" width="9.7968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796875" customWidth="1"/>
    <col min="8764" max="8764" width="9.59765625" bestFit="1" customWidth="1"/>
    <col min="8765" max="8765" width="9.296875" customWidth="1"/>
    <col min="8767" max="8767" width="7.19921875" customWidth="1"/>
    <col min="8768" max="8768" width="0" hidden="1" customWidth="1"/>
    <col min="8770" max="8770" width="9.296875" customWidth="1"/>
    <col min="8771" max="8771" width="10.296875" customWidth="1"/>
    <col min="8772" max="8772" width="15.796875" customWidth="1"/>
    <col min="8774" max="8774" width="6.69921875" customWidth="1"/>
    <col min="8961" max="8961" width="0.296875" customWidth="1"/>
    <col min="8962" max="8962" width="17.19921875" customWidth="1"/>
    <col min="8963" max="8963" width="13.296875" customWidth="1"/>
    <col min="8964" max="8964" width="9.59765625" customWidth="1"/>
    <col min="8965" max="8965" width="13.2968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796875" customWidth="1"/>
    <col min="8975" max="8975" width="11.296875" customWidth="1"/>
    <col min="8976" max="8976" width="11.69921875" customWidth="1"/>
    <col min="8977" max="8977" width="10.796875" customWidth="1"/>
    <col min="8978" max="8978" width="16" customWidth="1"/>
    <col min="8979" max="8979" width="14.09765625" customWidth="1"/>
    <col min="8980" max="8980" width="11.69921875" customWidth="1"/>
    <col min="8981" max="8981" width="13.2968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296875" customWidth="1"/>
    <col min="8991" max="8992" width="13.19921875" customWidth="1"/>
    <col min="8993" max="8993" width="8.19921875" bestFit="1" customWidth="1"/>
    <col min="8994" max="8994" width="10" customWidth="1"/>
    <col min="8996" max="8996" width="9.69921875" customWidth="1"/>
    <col min="8997" max="8997" width="9.296875" customWidth="1"/>
    <col min="8998" max="8998" width="10.5" bestFit="1" customWidth="1"/>
    <col min="9005" max="9005" width="9.59765625" customWidth="1"/>
    <col min="9006" max="9006" width="14.69921875" customWidth="1"/>
    <col min="9007" max="9007" width="11.296875" customWidth="1"/>
    <col min="9008" max="9008" width="9.7968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796875" customWidth="1"/>
    <col min="9020" max="9020" width="9.59765625" bestFit="1" customWidth="1"/>
    <col min="9021" max="9021" width="9.296875" customWidth="1"/>
    <col min="9023" max="9023" width="7.19921875" customWidth="1"/>
    <col min="9024" max="9024" width="0" hidden="1" customWidth="1"/>
    <col min="9026" max="9026" width="9.296875" customWidth="1"/>
    <col min="9027" max="9027" width="10.296875" customWidth="1"/>
    <col min="9028" max="9028" width="15.796875" customWidth="1"/>
    <col min="9030" max="9030" width="6.69921875" customWidth="1"/>
    <col min="9217" max="9217" width="0.296875" customWidth="1"/>
    <col min="9218" max="9218" width="17.19921875" customWidth="1"/>
    <col min="9219" max="9219" width="13.296875" customWidth="1"/>
    <col min="9220" max="9220" width="9.59765625" customWidth="1"/>
    <col min="9221" max="9221" width="13.2968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796875" customWidth="1"/>
    <col min="9231" max="9231" width="11.296875" customWidth="1"/>
    <col min="9232" max="9232" width="11.69921875" customWidth="1"/>
    <col min="9233" max="9233" width="10.796875" customWidth="1"/>
    <col min="9234" max="9234" width="16" customWidth="1"/>
    <col min="9235" max="9235" width="14.09765625" customWidth="1"/>
    <col min="9236" max="9236" width="11.69921875" customWidth="1"/>
    <col min="9237" max="9237" width="13.2968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296875" customWidth="1"/>
    <col min="9247" max="9248" width="13.19921875" customWidth="1"/>
    <col min="9249" max="9249" width="8.19921875" bestFit="1" customWidth="1"/>
    <col min="9250" max="9250" width="10" customWidth="1"/>
    <col min="9252" max="9252" width="9.69921875" customWidth="1"/>
    <col min="9253" max="9253" width="9.296875" customWidth="1"/>
    <col min="9254" max="9254" width="10.5" bestFit="1" customWidth="1"/>
    <col min="9261" max="9261" width="9.59765625" customWidth="1"/>
    <col min="9262" max="9262" width="14.69921875" customWidth="1"/>
    <col min="9263" max="9263" width="11.296875" customWidth="1"/>
    <col min="9264" max="9264" width="9.7968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796875" customWidth="1"/>
    <col min="9276" max="9276" width="9.59765625" bestFit="1" customWidth="1"/>
    <col min="9277" max="9277" width="9.296875" customWidth="1"/>
    <col min="9279" max="9279" width="7.19921875" customWidth="1"/>
    <col min="9280" max="9280" width="0" hidden="1" customWidth="1"/>
    <col min="9282" max="9282" width="9.296875" customWidth="1"/>
    <col min="9283" max="9283" width="10.296875" customWidth="1"/>
    <col min="9284" max="9284" width="15.796875" customWidth="1"/>
    <col min="9286" max="9286" width="6.69921875" customWidth="1"/>
    <col min="9473" max="9473" width="0.296875" customWidth="1"/>
    <col min="9474" max="9474" width="17.19921875" customWidth="1"/>
    <col min="9475" max="9475" width="13.296875" customWidth="1"/>
    <col min="9476" max="9476" width="9.59765625" customWidth="1"/>
    <col min="9477" max="9477" width="13.2968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796875" customWidth="1"/>
    <col min="9487" max="9487" width="11.296875" customWidth="1"/>
    <col min="9488" max="9488" width="11.69921875" customWidth="1"/>
    <col min="9489" max="9489" width="10.796875" customWidth="1"/>
    <col min="9490" max="9490" width="16" customWidth="1"/>
    <col min="9491" max="9491" width="14.09765625" customWidth="1"/>
    <col min="9492" max="9492" width="11.69921875" customWidth="1"/>
    <col min="9493" max="9493" width="13.2968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296875" customWidth="1"/>
    <col min="9503" max="9504" width="13.19921875" customWidth="1"/>
    <col min="9505" max="9505" width="8.19921875" bestFit="1" customWidth="1"/>
    <col min="9506" max="9506" width="10" customWidth="1"/>
    <col min="9508" max="9508" width="9.69921875" customWidth="1"/>
    <col min="9509" max="9509" width="9.296875" customWidth="1"/>
    <col min="9510" max="9510" width="10.5" bestFit="1" customWidth="1"/>
    <col min="9517" max="9517" width="9.59765625" customWidth="1"/>
    <col min="9518" max="9518" width="14.69921875" customWidth="1"/>
    <col min="9519" max="9519" width="11.296875" customWidth="1"/>
    <col min="9520" max="9520" width="9.7968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796875" customWidth="1"/>
    <col min="9532" max="9532" width="9.59765625" bestFit="1" customWidth="1"/>
    <col min="9533" max="9533" width="9.296875" customWidth="1"/>
    <col min="9535" max="9535" width="7.19921875" customWidth="1"/>
    <col min="9536" max="9536" width="0" hidden="1" customWidth="1"/>
    <col min="9538" max="9538" width="9.296875" customWidth="1"/>
    <col min="9539" max="9539" width="10.296875" customWidth="1"/>
    <col min="9540" max="9540" width="15.796875" customWidth="1"/>
    <col min="9542" max="9542" width="6.69921875" customWidth="1"/>
    <col min="9729" max="9729" width="0.296875" customWidth="1"/>
    <col min="9730" max="9730" width="17.19921875" customWidth="1"/>
    <col min="9731" max="9731" width="13.296875" customWidth="1"/>
    <col min="9732" max="9732" width="9.59765625" customWidth="1"/>
    <col min="9733" max="9733" width="13.2968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796875" customWidth="1"/>
    <col min="9743" max="9743" width="11.296875" customWidth="1"/>
    <col min="9744" max="9744" width="11.69921875" customWidth="1"/>
    <col min="9745" max="9745" width="10.796875" customWidth="1"/>
    <col min="9746" max="9746" width="16" customWidth="1"/>
    <col min="9747" max="9747" width="14.09765625" customWidth="1"/>
    <col min="9748" max="9748" width="11.69921875" customWidth="1"/>
    <col min="9749" max="9749" width="13.2968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296875" customWidth="1"/>
    <col min="9759" max="9760" width="13.19921875" customWidth="1"/>
    <col min="9761" max="9761" width="8.19921875" bestFit="1" customWidth="1"/>
    <col min="9762" max="9762" width="10" customWidth="1"/>
    <col min="9764" max="9764" width="9.69921875" customWidth="1"/>
    <col min="9765" max="9765" width="9.296875" customWidth="1"/>
    <col min="9766" max="9766" width="10.5" bestFit="1" customWidth="1"/>
    <col min="9773" max="9773" width="9.59765625" customWidth="1"/>
    <col min="9774" max="9774" width="14.69921875" customWidth="1"/>
    <col min="9775" max="9775" width="11.296875" customWidth="1"/>
    <col min="9776" max="9776" width="9.7968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796875" customWidth="1"/>
    <col min="9788" max="9788" width="9.59765625" bestFit="1" customWidth="1"/>
    <col min="9789" max="9789" width="9.296875" customWidth="1"/>
    <col min="9791" max="9791" width="7.19921875" customWidth="1"/>
    <col min="9792" max="9792" width="0" hidden="1" customWidth="1"/>
    <col min="9794" max="9794" width="9.296875" customWidth="1"/>
    <col min="9795" max="9795" width="10.296875" customWidth="1"/>
    <col min="9796" max="9796" width="15.796875" customWidth="1"/>
    <col min="9798" max="9798" width="6.69921875" customWidth="1"/>
    <col min="9985" max="9985" width="0.296875" customWidth="1"/>
    <col min="9986" max="9986" width="17.19921875" customWidth="1"/>
    <col min="9987" max="9987" width="13.296875" customWidth="1"/>
    <col min="9988" max="9988" width="9.59765625" customWidth="1"/>
    <col min="9989" max="9989" width="13.2968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796875" customWidth="1"/>
    <col min="9999" max="9999" width="11.296875" customWidth="1"/>
    <col min="10000" max="10000" width="11.69921875" customWidth="1"/>
    <col min="10001" max="10001" width="10.796875" customWidth="1"/>
    <col min="10002" max="10002" width="16" customWidth="1"/>
    <col min="10003" max="10003" width="14.09765625" customWidth="1"/>
    <col min="10004" max="10004" width="11.69921875" customWidth="1"/>
    <col min="10005" max="10005" width="13.2968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296875" customWidth="1"/>
    <col min="10015" max="10016" width="13.19921875" customWidth="1"/>
    <col min="10017" max="10017" width="8.19921875" bestFit="1" customWidth="1"/>
    <col min="10018" max="10018" width="10" customWidth="1"/>
    <col min="10020" max="10020" width="9.69921875" customWidth="1"/>
    <col min="10021" max="10021" width="9.296875" customWidth="1"/>
    <col min="10022" max="10022" width="10.5" bestFit="1" customWidth="1"/>
    <col min="10029" max="10029" width="9.59765625" customWidth="1"/>
    <col min="10030" max="10030" width="14.69921875" customWidth="1"/>
    <col min="10031" max="10031" width="11.296875" customWidth="1"/>
    <col min="10032" max="10032" width="9.7968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796875" customWidth="1"/>
    <col min="10044" max="10044" width="9.59765625" bestFit="1" customWidth="1"/>
    <col min="10045" max="10045" width="9.296875" customWidth="1"/>
    <col min="10047" max="10047" width="7.19921875" customWidth="1"/>
    <col min="10048" max="10048" width="0" hidden="1" customWidth="1"/>
    <col min="10050" max="10050" width="9.296875" customWidth="1"/>
    <col min="10051" max="10051" width="10.296875" customWidth="1"/>
    <col min="10052" max="10052" width="15.796875" customWidth="1"/>
    <col min="10054" max="10054" width="6.69921875" customWidth="1"/>
    <col min="10241" max="10241" width="0.296875" customWidth="1"/>
    <col min="10242" max="10242" width="17.19921875" customWidth="1"/>
    <col min="10243" max="10243" width="13.296875" customWidth="1"/>
    <col min="10244" max="10244" width="9.59765625" customWidth="1"/>
    <col min="10245" max="10245" width="13.2968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796875" customWidth="1"/>
    <col min="10255" max="10255" width="11.296875" customWidth="1"/>
    <col min="10256" max="10256" width="11.69921875" customWidth="1"/>
    <col min="10257" max="10257" width="10.796875" customWidth="1"/>
    <col min="10258" max="10258" width="16" customWidth="1"/>
    <col min="10259" max="10259" width="14.09765625" customWidth="1"/>
    <col min="10260" max="10260" width="11.69921875" customWidth="1"/>
    <col min="10261" max="10261" width="13.2968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296875" customWidth="1"/>
    <col min="10271" max="10272" width="13.19921875" customWidth="1"/>
    <col min="10273" max="10273" width="8.19921875" bestFit="1" customWidth="1"/>
    <col min="10274" max="10274" width="10" customWidth="1"/>
    <col min="10276" max="10276" width="9.69921875" customWidth="1"/>
    <col min="10277" max="10277" width="9.296875" customWidth="1"/>
    <col min="10278" max="10278" width="10.5" bestFit="1" customWidth="1"/>
    <col min="10285" max="10285" width="9.59765625" customWidth="1"/>
    <col min="10286" max="10286" width="14.69921875" customWidth="1"/>
    <col min="10287" max="10287" width="11.296875" customWidth="1"/>
    <col min="10288" max="10288" width="9.7968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796875" customWidth="1"/>
    <col min="10300" max="10300" width="9.59765625" bestFit="1" customWidth="1"/>
    <col min="10301" max="10301" width="9.296875" customWidth="1"/>
    <col min="10303" max="10303" width="7.19921875" customWidth="1"/>
    <col min="10304" max="10304" width="0" hidden="1" customWidth="1"/>
    <col min="10306" max="10306" width="9.296875" customWidth="1"/>
    <col min="10307" max="10307" width="10.296875" customWidth="1"/>
    <col min="10308" max="10308" width="15.796875" customWidth="1"/>
    <col min="10310" max="10310" width="6.69921875" customWidth="1"/>
    <col min="10497" max="10497" width="0.296875" customWidth="1"/>
    <col min="10498" max="10498" width="17.19921875" customWidth="1"/>
    <col min="10499" max="10499" width="13.296875" customWidth="1"/>
    <col min="10500" max="10500" width="9.59765625" customWidth="1"/>
    <col min="10501" max="10501" width="13.2968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796875" customWidth="1"/>
    <col min="10511" max="10511" width="11.296875" customWidth="1"/>
    <col min="10512" max="10512" width="11.69921875" customWidth="1"/>
    <col min="10513" max="10513" width="10.796875" customWidth="1"/>
    <col min="10514" max="10514" width="16" customWidth="1"/>
    <col min="10515" max="10515" width="14.09765625" customWidth="1"/>
    <col min="10516" max="10516" width="11.69921875" customWidth="1"/>
    <col min="10517" max="10517" width="13.2968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296875" customWidth="1"/>
    <col min="10527" max="10528" width="13.19921875" customWidth="1"/>
    <col min="10529" max="10529" width="8.19921875" bestFit="1" customWidth="1"/>
    <col min="10530" max="10530" width="10" customWidth="1"/>
    <col min="10532" max="10532" width="9.69921875" customWidth="1"/>
    <col min="10533" max="10533" width="9.296875" customWidth="1"/>
    <col min="10534" max="10534" width="10.5" bestFit="1" customWidth="1"/>
    <col min="10541" max="10541" width="9.59765625" customWidth="1"/>
    <col min="10542" max="10542" width="14.69921875" customWidth="1"/>
    <col min="10543" max="10543" width="11.296875" customWidth="1"/>
    <col min="10544" max="10544" width="9.7968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796875" customWidth="1"/>
    <col min="10556" max="10556" width="9.59765625" bestFit="1" customWidth="1"/>
    <col min="10557" max="10557" width="9.296875" customWidth="1"/>
    <col min="10559" max="10559" width="7.19921875" customWidth="1"/>
    <col min="10560" max="10560" width="0" hidden="1" customWidth="1"/>
    <col min="10562" max="10562" width="9.296875" customWidth="1"/>
    <col min="10563" max="10563" width="10.296875" customWidth="1"/>
    <col min="10564" max="10564" width="15.796875" customWidth="1"/>
    <col min="10566" max="10566" width="6.69921875" customWidth="1"/>
    <col min="10753" max="10753" width="0.296875" customWidth="1"/>
    <col min="10754" max="10754" width="17.19921875" customWidth="1"/>
    <col min="10755" max="10755" width="13.296875" customWidth="1"/>
    <col min="10756" max="10756" width="9.59765625" customWidth="1"/>
    <col min="10757" max="10757" width="13.2968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796875" customWidth="1"/>
    <col min="10767" max="10767" width="11.296875" customWidth="1"/>
    <col min="10768" max="10768" width="11.69921875" customWidth="1"/>
    <col min="10769" max="10769" width="10.796875" customWidth="1"/>
    <col min="10770" max="10770" width="16" customWidth="1"/>
    <col min="10771" max="10771" width="14.09765625" customWidth="1"/>
    <col min="10772" max="10772" width="11.69921875" customWidth="1"/>
    <col min="10773" max="10773" width="13.2968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296875" customWidth="1"/>
    <col min="10783" max="10784" width="13.19921875" customWidth="1"/>
    <col min="10785" max="10785" width="8.19921875" bestFit="1" customWidth="1"/>
    <col min="10786" max="10786" width="10" customWidth="1"/>
    <col min="10788" max="10788" width="9.69921875" customWidth="1"/>
    <col min="10789" max="10789" width="9.296875" customWidth="1"/>
    <col min="10790" max="10790" width="10.5" bestFit="1" customWidth="1"/>
    <col min="10797" max="10797" width="9.59765625" customWidth="1"/>
    <col min="10798" max="10798" width="14.69921875" customWidth="1"/>
    <col min="10799" max="10799" width="11.296875" customWidth="1"/>
    <col min="10800" max="10800" width="9.7968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796875" customWidth="1"/>
    <col min="10812" max="10812" width="9.59765625" bestFit="1" customWidth="1"/>
    <col min="10813" max="10813" width="9.296875" customWidth="1"/>
    <col min="10815" max="10815" width="7.19921875" customWidth="1"/>
    <col min="10816" max="10816" width="0" hidden="1" customWidth="1"/>
    <col min="10818" max="10818" width="9.296875" customWidth="1"/>
    <col min="10819" max="10819" width="10.296875" customWidth="1"/>
    <col min="10820" max="10820" width="15.796875" customWidth="1"/>
    <col min="10822" max="10822" width="6.69921875" customWidth="1"/>
    <col min="11009" max="11009" width="0.296875" customWidth="1"/>
    <col min="11010" max="11010" width="17.19921875" customWidth="1"/>
    <col min="11011" max="11011" width="13.296875" customWidth="1"/>
    <col min="11012" max="11012" width="9.59765625" customWidth="1"/>
    <col min="11013" max="11013" width="13.2968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796875" customWidth="1"/>
    <col min="11023" max="11023" width="11.296875" customWidth="1"/>
    <col min="11024" max="11024" width="11.69921875" customWidth="1"/>
    <col min="11025" max="11025" width="10.796875" customWidth="1"/>
    <col min="11026" max="11026" width="16" customWidth="1"/>
    <col min="11027" max="11027" width="14.09765625" customWidth="1"/>
    <col min="11028" max="11028" width="11.69921875" customWidth="1"/>
    <col min="11029" max="11029" width="13.2968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296875" customWidth="1"/>
    <col min="11039" max="11040" width="13.19921875" customWidth="1"/>
    <col min="11041" max="11041" width="8.19921875" bestFit="1" customWidth="1"/>
    <col min="11042" max="11042" width="10" customWidth="1"/>
    <col min="11044" max="11044" width="9.69921875" customWidth="1"/>
    <col min="11045" max="11045" width="9.296875" customWidth="1"/>
    <col min="11046" max="11046" width="10.5" bestFit="1" customWidth="1"/>
    <col min="11053" max="11053" width="9.59765625" customWidth="1"/>
    <col min="11054" max="11054" width="14.69921875" customWidth="1"/>
    <col min="11055" max="11055" width="11.296875" customWidth="1"/>
    <col min="11056" max="11056" width="9.7968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796875" customWidth="1"/>
    <col min="11068" max="11068" width="9.59765625" bestFit="1" customWidth="1"/>
    <col min="11069" max="11069" width="9.296875" customWidth="1"/>
    <col min="11071" max="11071" width="7.19921875" customWidth="1"/>
    <col min="11072" max="11072" width="0" hidden="1" customWidth="1"/>
    <col min="11074" max="11074" width="9.296875" customWidth="1"/>
    <col min="11075" max="11075" width="10.296875" customWidth="1"/>
    <col min="11076" max="11076" width="15.796875" customWidth="1"/>
    <col min="11078" max="11078" width="6.69921875" customWidth="1"/>
    <col min="11265" max="11265" width="0.296875" customWidth="1"/>
    <col min="11266" max="11266" width="17.19921875" customWidth="1"/>
    <col min="11267" max="11267" width="13.296875" customWidth="1"/>
    <col min="11268" max="11268" width="9.59765625" customWidth="1"/>
    <col min="11269" max="11269" width="13.2968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796875" customWidth="1"/>
    <col min="11279" max="11279" width="11.296875" customWidth="1"/>
    <col min="11280" max="11280" width="11.69921875" customWidth="1"/>
    <col min="11281" max="11281" width="10.796875" customWidth="1"/>
    <col min="11282" max="11282" width="16" customWidth="1"/>
    <col min="11283" max="11283" width="14.09765625" customWidth="1"/>
    <col min="11284" max="11284" width="11.69921875" customWidth="1"/>
    <col min="11285" max="11285" width="13.2968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296875" customWidth="1"/>
    <col min="11295" max="11296" width="13.19921875" customWidth="1"/>
    <col min="11297" max="11297" width="8.19921875" bestFit="1" customWidth="1"/>
    <col min="11298" max="11298" width="10" customWidth="1"/>
    <col min="11300" max="11300" width="9.69921875" customWidth="1"/>
    <col min="11301" max="11301" width="9.296875" customWidth="1"/>
    <col min="11302" max="11302" width="10.5" bestFit="1" customWidth="1"/>
    <col min="11309" max="11309" width="9.59765625" customWidth="1"/>
    <col min="11310" max="11310" width="14.69921875" customWidth="1"/>
    <col min="11311" max="11311" width="11.296875" customWidth="1"/>
    <col min="11312" max="11312" width="9.7968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796875" customWidth="1"/>
    <col min="11324" max="11324" width="9.59765625" bestFit="1" customWidth="1"/>
    <col min="11325" max="11325" width="9.296875" customWidth="1"/>
    <col min="11327" max="11327" width="7.19921875" customWidth="1"/>
    <col min="11328" max="11328" width="0" hidden="1" customWidth="1"/>
    <col min="11330" max="11330" width="9.296875" customWidth="1"/>
    <col min="11331" max="11331" width="10.296875" customWidth="1"/>
    <col min="11332" max="11332" width="15.796875" customWidth="1"/>
    <col min="11334" max="11334" width="6.69921875" customWidth="1"/>
    <col min="11521" max="11521" width="0.296875" customWidth="1"/>
    <col min="11522" max="11522" width="17.19921875" customWidth="1"/>
    <col min="11523" max="11523" width="13.296875" customWidth="1"/>
    <col min="11524" max="11524" width="9.59765625" customWidth="1"/>
    <col min="11525" max="11525" width="13.2968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796875" customWidth="1"/>
    <col min="11535" max="11535" width="11.296875" customWidth="1"/>
    <col min="11536" max="11536" width="11.69921875" customWidth="1"/>
    <col min="11537" max="11537" width="10.796875" customWidth="1"/>
    <col min="11538" max="11538" width="16" customWidth="1"/>
    <col min="11539" max="11539" width="14.09765625" customWidth="1"/>
    <col min="11540" max="11540" width="11.69921875" customWidth="1"/>
    <col min="11541" max="11541" width="13.2968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296875" customWidth="1"/>
    <col min="11551" max="11552" width="13.19921875" customWidth="1"/>
    <col min="11553" max="11553" width="8.19921875" bestFit="1" customWidth="1"/>
    <col min="11554" max="11554" width="10" customWidth="1"/>
    <col min="11556" max="11556" width="9.69921875" customWidth="1"/>
    <col min="11557" max="11557" width="9.296875" customWidth="1"/>
    <col min="11558" max="11558" width="10.5" bestFit="1" customWidth="1"/>
    <col min="11565" max="11565" width="9.59765625" customWidth="1"/>
    <col min="11566" max="11566" width="14.69921875" customWidth="1"/>
    <col min="11567" max="11567" width="11.296875" customWidth="1"/>
    <col min="11568" max="11568" width="9.7968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796875" customWidth="1"/>
    <col min="11580" max="11580" width="9.59765625" bestFit="1" customWidth="1"/>
    <col min="11581" max="11581" width="9.296875" customWidth="1"/>
    <col min="11583" max="11583" width="7.19921875" customWidth="1"/>
    <col min="11584" max="11584" width="0" hidden="1" customWidth="1"/>
    <col min="11586" max="11586" width="9.296875" customWidth="1"/>
    <col min="11587" max="11587" width="10.296875" customWidth="1"/>
    <col min="11588" max="11588" width="15.796875" customWidth="1"/>
    <col min="11590" max="11590" width="6.69921875" customWidth="1"/>
    <col min="11777" max="11777" width="0.296875" customWidth="1"/>
    <col min="11778" max="11778" width="17.19921875" customWidth="1"/>
    <col min="11779" max="11779" width="13.296875" customWidth="1"/>
    <col min="11780" max="11780" width="9.59765625" customWidth="1"/>
    <col min="11781" max="11781" width="13.2968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796875" customWidth="1"/>
    <col min="11791" max="11791" width="11.296875" customWidth="1"/>
    <col min="11792" max="11792" width="11.69921875" customWidth="1"/>
    <col min="11793" max="11793" width="10.796875" customWidth="1"/>
    <col min="11794" max="11794" width="16" customWidth="1"/>
    <col min="11795" max="11795" width="14.09765625" customWidth="1"/>
    <col min="11796" max="11796" width="11.69921875" customWidth="1"/>
    <col min="11797" max="11797" width="13.2968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296875" customWidth="1"/>
    <col min="11807" max="11808" width="13.19921875" customWidth="1"/>
    <col min="11809" max="11809" width="8.19921875" bestFit="1" customWidth="1"/>
    <col min="11810" max="11810" width="10" customWidth="1"/>
    <col min="11812" max="11812" width="9.69921875" customWidth="1"/>
    <col min="11813" max="11813" width="9.296875" customWidth="1"/>
    <col min="11814" max="11814" width="10.5" bestFit="1" customWidth="1"/>
    <col min="11821" max="11821" width="9.59765625" customWidth="1"/>
    <col min="11822" max="11822" width="14.69921875" customWidth="1"/>
    <col min="11823" max="11823" width="11.296875" customWidth="1"/>
    <col min="11824" max="11824" width="9.7968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796875" customWidth="1"/>
    <col min="11836" max="11836" width="9.59765625" bestFit="1" customWidth="1"/>
    <col min="11837" max="11837" width="9.296875" customWidth="1"/>
    <col min="11839" max="11839" width="7.19921875" customWidth="1"/>
    <col min="11840" max="11840" width="0" hidden="1" customWidth="1"/>
    <col min="11842" max="11842" width="9.296875" customWidth="1"/>
    <col min="11843" max="11843" width="10.296875" customWidth="1"/>
    <col min="11844" max="11844" width="15.796875" customWidth="1"/>
    <col min="11846" max="11846" width="6.69921875" customWidth="1"/>
    <col min="12033" max="12033" width="0.296875" customWidth="1"/>
    <col min="12034" max="12034" width="17.19921875" customWidth="1"/>
    <col min="12035" max="12035" width="13.296875" customWidth="1"/>
    <col min="12036" max="12036" width="9.59765625" customWidth="1"/>
    <col min="12037" max="12037" width="13.2968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796875" customWidth="1"/>
    <col min="12047" max="12047" width="11.296875" customWidth="1"/>
    <col min="12048" max="12048" width="11.69921875" customWidth="1"/>
    <col min="12049" max="12049" width="10.796875" customWidth="1"/>
    <col min="12050" max="12050" width="16" customWidth="1"/>
    <col min="12051" max="12051" width="14.09765625" customWidth="1"/>
    <col min="12052" max="12052" width="11.69921875" customWidth="1"/>
    <col min="12053" max="12053" width="13.2968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296875" customWidth="1"/>
    <col min="12063" max="12064" width="13.19921875" customWidth="1"/>
    <col min="12065" max="12065" width="8.19921875" bestFit="1" customWidth="1"/>
    <col min="12066" max="12066" width="10" customWidth="1"/>
    <col min="12068" max="12068" width="9.69921875" customWidth="1"/>
    <col min="12069" max="12069" width="9.296875" customWidth="1"/>
    <col min="12070" max="12070" width="10.5" bestFit="1" customWidth="1"/>
    <col min="12077" max="12077" width="9.59765625" customWidth="1"/>
    <col min="12078" max="12078" width="14.69921875" customWidth="1"/>
    <col min="12079" max="12079" width="11.296875" customWidth="1"/>
    <col min="12080" max="12080" width="9.7968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796875" customWidth="1"/>
    <col min="12092" max="12092" width="9.59765625" bestFit="1" customWidth="1"/>
    <col min="12093" max="12093" width="9.296875" customWidth="1"/>
    <col min="12095" max="12095" width="7.19921875" customWidth="1"/>
    <col min="12096" max="12096" width="0" hidden="1" customWidth="1"/>
    <col min="12098" max="12098" width="9.296875" customWidth="1"/>
    <col min="12099" max="12099" width="10.296875" customWidth="1"/>
    <col min="12100" max="12100" width="15.796875" customWidth="1"/>
    <col min="12102" max="12102" width="6.69921875" customWidth="1"/>
    <col min="12289" max="12289" width="0.296875" customWidth="1"/>
    <col min="12290" max="12290" width="17.19921875" customWidth="1"/>
    <col min="12291" max="12291" width="13.296875" customWidth="1"/>
    <col min="12292" max="12292" width="9.59765625" customWidth="1"/>
    <col min="12293" max="12293" width="13.2968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796875" customWidth="1"/>
    <col min="12303" max="12303" width="11.296875" customWidth="1"/>
    <col min="12304" max="12304" width="11.69921875" customWidth="1"/>
    <col min="12305" max="12305" width="10.796875" customWidth="1"/>
    <col min="12306" max="12306" width="16" customWidth="1"/>
    <col min="12307" max="12307" width="14.09765625" customWidth="1"/>
    <col min="12308" max="12308" width="11.69921875" customWidth="1"/>
    <col min="12309" max="12309" width="13.2968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296875" customWidth="1"/>
    <col min="12319" max="12320" width="13.19921875" customWidth="1"/>
    <col min="12321" max="12321" width="8.19921875" bestFit="1" customWidth="1"/>
    <col min="12322" max="12322" width="10" customWidth="1"/>
    <col min="12324" max="12324" width="9.69921875" customWidth="1"/>
    <col min="12325" max="12325" width="9.296875" customWidth="1"/>
    <col min="12326" max="12326" width="10.5" bestFit="1" customWidth="1"/>
    <col min="12333" max="12333" width="9.59765625" customWidth="1"/>
    <col min="12334" max="12334" width="14.69921875" customWidth="1"/>
    <col min="12335" max="12335" width="11.296875" customWidth="1"/>
    <col min="12336" max="12336" width="9.7968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796875" customWidth="1"/>
    <col min="12348" max="12348" width="9.59765625" bestFit="1" customWidth="1"/>
    <col min="12349" max="12349" width="9.296875" customWidth="1"/>
    <col min="12351" max="12351" width="7.19921875" customWidth="1"/>
    <col min="12352" max="12352" width="0" hidden="1" customWidth="1"/>
    <col min="12354" max="12354" width="9.296875" customWidth="1"/>
    <col min="12355" max="12355" width="10.296875" customWidth="1"/>
    <col min="12356" max="12356" width="15.796875" customWidth="1"/>
    <col min="12358" max="12358" width="6.69921875" customWidth="1"/>
    <col min="12545" max="12545" width="0.296875" customWidth="1"/>
    <col min="12546" max="12546" width="17.19921875" customWidth="1"/>
    <col min="12547" max="12547" width="13.296875" customWidth="1"/>
    <col min="12548" max="12548" width="9.59765625" customWidth="1"/>
    <col min="12549" max="12549" width="13.2968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796875" customWidth="1"/>
    <col min="12559" max="12559" width="11.296875" customWidth="1"/>
    <col min="12560" max="12560" width="11.69921875" customWidth="1"/>
    <col min="12561" max="12561" width="10.796875" customWidth="1"/>
    <col min="12562" max="12562" width="16" customWidth="1"/>
    <col min="12563" max="12563" width="14.09765625" customWidth="1"/>
    <col min="12564" max="12564" width="11.69921875" customWidth="1"/>
    <col min="12565" max="12565" width="13.2968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296875" customWidth="1"/>
    <col min="12575" max="12576" width="13.19921875" customWidth="1"/>
    <col min="12577" max="12577" width="8.19921875" bestFit="1" customWidth="1"/>
    <col min="12578" max="12578" width="10" customWidth="1"/>
    <col min="12580" max="12580" width="9.69921875" customWidth="1"/>
    <col min="12581" max="12581" width="9.296875" customWidth="1"/>
    <col min="12582" max="12582" width="10.5" bestFit="1" customWidth="1"/>
    <col min="12589" max="12589" width="9.59765625" customWidth="1"/>
    <col min="12590" max="12590" width="14.69921875" customWidth="1"/>
    <col min="12591" max="12591" width="11.296875" customWidth="1"/>
    <col min="12592" max="12592" width="9.7968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796875" customWidth="1"/>
    <col min="12604" max="12604" width="9.59765625" bestFit="1" customWidth="1"/>
    <col min="12605" max="12605" width="9.296875" customWidth="1"/>
    <col min="12607" max="12607" width="7.19921875" customWidth="1"/>
    <col min="12608" max="12608" width="0" hidden="1" customWidth="1"/>
    <col min="12610" max="12610" width="9.296875" customWidth="1"/>
    <col min="12611" max="12611" width="10.296875" customWidth="1"/>
    <col min="12612" max="12612" width="15.796875" customWidth="1"/>
    <col min="12614" max="12614" width="6.69921875" customWidth="1"/>
    <col min="12801" max="12801" width="0.296875" customWidth="1"/>
    <col min="12802" max="12802" width="17.19921875" customWidth="1"/>
    <col min="12803" max="12803" width="13.296875" customWidth="1"/>
    <col min="12804" max="12804" width="9.59765625" customWidth="1"/>
    <col min="12805" max="12805" width="13.2968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796875" customWidth="1"/>
    <col min="12815" max="12815" width="11.296875" customWidth="1"/>
    <col min="12816" max="12816" width="11.69921875" customWidth="1"/>
    <col min="12817" max="12817" width="10.796875" customWidth="1"/>
    <col min="12818" max="12818" width="16" customWidth="1"/>
    <col min="12819" max="12819" width="14.09765625" customWidth="1"/>
    <col min="12820" max="12820" width="11.69921875" customWidth="1"/>
    <col min="12821" max="12821" width="13.2968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296875" customWidth="1"/>
    <col min="12831" max="12832" width="13.19921875" customWidth="1"/>
    <col min="12833" max="12833" width="8.19921875" bestFit="1" customWidth="1"/>
    <col min="12834" max="12834" width="10" customWidth="1"/>
    <col min="12836" max="12836" width="9.69921875" customWidth="1"/>
    <col min="12837" max="12837" width="9.296875" customWidth="1"/>
    <col min="12838" max="12838" width="10.5" bestFit="1" customWidth="1"/>
    <col min="12845" max="12845" width="9.59765625" customWidth="1"/>
    <col min="12846" max="12846" width="14.69921875" customWidth="1"/>
    <col min="12847" max="12847" width="11.296875" customWidth="1"/>
    <col min="12848" max="12848" width="9.7968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796875" customWidth="1"/>
    <col min="12860" max="12860" width="9.59765625" bestFit="1" customWidth="1"/>
    <col min="12861" max="12861" width="9.296875" customWidth="1"/>
    <col min="12863" max="12863" width="7.19921875" customWidth="1"/>
    <col min="12864" max="12864" width="0" hidden="1" customWidth="1"/>
    <col min="12866" max="12866" width="9.296875" customWidth="1"/>
    <col min="12867" max="12867" width="10.296875" customWidth="1"/>
    <col min="12868" max="12868" width="15.796875" customWidth="1"/>
    <col min="12870" max="12870" width="6.69921875" customWidth="1"/>
    <col min="13057" max="13057" width="0.296875" customWidth="1"/>
    <col min="13058" max="13058" width="17.19921875" customWidth="1"/>
    <col min="13059" max="13059" width="13.296875" customWidth="1"/>
    <col min="13060" max="13060" width="9.59765625" customWidth="1"/>
    <col min="13061" max="13061" width="13.2968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796875" customWidth="1"/>
    <col min="13071" max="13071" width="11.296875" customWidth="1"/>
    <col min="13072" max="13072" width="11.69921875" customWidth="1"/>
    <col min="13073" max="13073" width="10.796875" customWidth="1"/>
    <col min="13074" max="13074" width="16" customWidth="1"/>
    <col min="13075" max="13075" width="14.09765625" customWidth="1"/>
    <col min="13076" max="13076" width="11.69921875" customWidth="1"/>
    <col min="13077" max="13077" width="13.2968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296875" customWidth="1"/>
    <col min="13087" max="13088" width="13.19921875" customWidth="1"/>
    <col min="13089" max="13089" width="8.19921875" bestFit="1" customWidth="1"/>
    <col min="13090" max="13090" width="10" customWidth="1"/>
    <col min="13092" max="13092" width="9.69921875" customWidth="1"/>
    <col min="13093" max="13093" width="9.296875" customWidth="1"/>
    <col min="13094" max="13094" width="10.5" bestFit="1" customWidth="1"/>
    <col min="13101" max="13101" width="9.59765625" customWidth="1"/>
    <col min="13102" max="13102" width="14.69921875" customWidth="1"/>
    <col min="13103" max="13103" width="11.296875" customWidth="1"/>
    <col min="13104" max="13104" width="9.7968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796875" customWidth="1"/>
    <col min="13116" max="13116" width="9.59765625" bestFit="1" customWidth="1"/>
    <col min="13117" max="13117" width="9.296875" customWidth="1"/>
    <col min="13119" max="13119" width="7.19921875" customWidth="1"/>
    <col min="13120" max="13120" width="0" hidden="1" customWidth="1"/>
    <col min="13122" max="13122" width="9.296875" customWidth="1"/>
    <col min="13123" max="13123" width="10.296875" customWidth="1"/>
    <col min="13124" max="13124" width="15.796875" customWidth="1"/>
    <col min="13126" max="13126" width="6.69921875" customWidth="1"/>
    <col min="13313" max="13313" width="0.296875" customWidth="1"/>
    <col min="13314" max="13314" width="17.19921875" customWidth="1"/>
    <col min="13315" max="13315" width="13.296875" customWidth="1"/>
    <col min="13316" max="13316" width="9.59765625" customWidth="1"/>
    <col min="13317" max="13317" width="13.2968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796875" customWidth="1"/>
    <col min="13327" max="13327" width="11.296875" customWidth="1"/>
    <col min="13328" max="13328" width="11.69921875" customWidth="1"/>
    <col min="13329" max="13329" width="10.796875" customWidth="1"/>
    <col min="13330" max="13330" width="16" customWidth="1"/>
    <col min="13331" max="13331" width="14.09765625" customWidth="1"/>
    <col min="13332" max="13332" width="11.69921875" customWidth="1"/>
    <col min="13333" max="13333" width="13.2968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296875" customWidth="1"/>
    <col min="13343" max="13344" width="13.19921875" customWidth="1"/>
    <col min="13345" max="13345" width="8.19921875" bestFit="1" customWidth="1"/>
    <col min="13346" max="13346" width="10" customWidth="1"/>
    <col min="13348" max="13348" width="9.69921875" customWidth="1"/>
    <col min="13349" max="13349" width="9.296875" customWidth="1"/>
    <col min="13350" max="13350" width="10.5" bestFit="1" customWidth="1"/>
    <col min="13357" max="13357" width="9.59765625" customWidth="1"/>
    <col min="13358" max="13358" width="14.69921875" customWidth="1"/>
    <col min="13359" max="13359" width="11.296875" customWidth="1"/>
    <col min="13360" max="13360" width="9.7968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796875" customWidth="1"/>
    <col min="13372" max="13372" width="9.59765625" bestFit="1" customWidth="1"/>
    <col min="13373" max="13373" width="9.296875" customWidth="1"/>
    <col min="13375" max="13375" width="7.19921875" customWidth="1"/>
    <col min="13376" max="13376" width="0" hidden="1" customWidth="1"/>
    <col min="13378" max="13378" width="9.296875" customWidth="1"/>
    <col min="13379" max="13379" width="10.296875" customWidth="1"/>
    <col min="13380" max="13380" width="15.796875" customWidth="1"/>
    <col min="13382" max="13382" width="6.69921875" customWidth="1"/>
    <col min="13569" max="13569" width="0.296875" customWidth="1"/>
    <col min="13570" max="13570" width="17.19921875" customWidth="1"/>
    <col min="13571" max="13571" width="13.296875" customWidth="1"/>
    <col min="13572" max="13572" width="9.59765625" customWidth="1"/>
    <col min="13573" max="13573" width="13.2968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796875" customWidth="1"/>
    <col min="13583" max="13583" width="11.296875" customWidth="1"/>
    <col min="13584" max="13584" width="11.69921875" customWidth="1"/>
    <col min="13585" max="13585" width="10.796875" customWidth="1"/>
    <col min="13586" max="13586" width="16" customWidth="1"/>
    <col min="13587" max="13587" width="14.09765625" customWidth="1"/>
    <col min="13588" max="13588" width="11.69921875" customWidth="1"/>
    <col min="13589" max="13589" width="13.2968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296875" customWidth="1"/>
    <col min="13599" max="13600" width="13.19921875" customWidth="1"/>
    <col min="13601" max="13601" width="8.19921875" bestFit="1" customWidth="1"/>
    <col min="13602" max="13602" width="10" customWidth="1"/>
    <col min="13604" max="13604" width="9.69921875" customWidth="1"/>
    <col min="13605" max="13605" width="9.296875" customWidth="1"/>
    <col min="13606" max="13606" width="10.5" bestFit="1" customWidth="1"/>
    <col min="13613" max="13613" width="9.59765625" customWidth="1"/>
    <col min="13614" max="13614" width="14.69921875" customWidth="1"/>
    <col min="13615" max="13615" width="11.296875" customWidth="1"/>
    <col min="13616" max="13616" width="9.7968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796875" customWidth="1"/>
    <col min="13628" max="13628" width="9.59765625" bestFit="1" customWidth="1"/>
    <col min="13629" max="13629" width="9.296875" customWidth="1"/>
    <col min="13631" max="13631" width="7.19921875" customWidth="1"/>
    <col min="13632" max="13632" width="0" hidden="1" customWidth="1"/>
    <col min="13634" max="13634" width="9.296875" customWidth="1"/>
    <col min="13635" max="13635" width="10.296875" customWidth="1"/>
    <col min="13636" max="13636" width="15.796875" customWidth="1"/>
    <col min="13638" max="13638" width="6.69921875" customWidth="1"/>
    <col min="13825" max="13825" width="0.296875" customWidth="1"/>
    <col min="13826" max="13826" width="17.19921875" customWidth="1"/>
    <col min="13827" max="13827" width="13.296875" customWidth="1"/>
    <col min="13828" max="13828" width="9.59765625" customWidth="1"/>
    <col min="13829" max="13829" width="13.2968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796875" customWidth="1"/>
    <col min="13839" max="13839" width="11.296875" customWidth="1"/>
    <col min="13840" max="13840" width="11.69921875" customWidth="1"/>
    <col min="13841" max="13841" width="10.796875" customWidth="1"/>
    <col min="13842" max="13842" width="16" customWidth="1"/>
    <col min="13843" max="13843" width="14.09765625" customWidth="1"/>
    <col min="13844" max="13844" width="11.69921875" customWidth="1"/>
    <col min="13845" max="13845" width="13.2968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296875" customWidth="1"/>
    <col min="13855" max="13856" width="13.19921875" customWidth="1"/>
    <col min="13857" max="13857" width="8.19921875" bestFit="1" customWidth="1"/>
    <col min="13858" max="13858" width="10" customWidth="1"/>
    <col min="13860" max="13860" width="9.69921875" customWidth="1"/>
    <col min="13861" max="13861" width="9.296875" customWidth="1"/>
    <col min="13862" max="13862" width="10.5" bestFit="1" customWidth="1"/>
    <col min="13869" max="13869" width="9.59765625" customWidth="1"/>
    <col min="13870" max="13870" width="14.69921875" customWidth="1"/>
    <col min="13871" max="13871" width="11.296875" customWidth="1"/>
    <col min="13872" max="13872" width="9.7968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796875" customWidth="1"/>
    <col min="13884" max="13884" width="9.59765625" bestFit="1" customWidth="1"/>
    <col min="13885" max="13885" width="9.296875" customWidth="1"/>
    <col min="13887" max="13887" width="7.19921875" customWidth="1"/>
    <col min="13888" max="13888" width="0" hidden="1" customWidth="1"/>
    <col min="13890" max="13890" width="9.296875" customWidth="1"/>
    <col min="13891" max="13891" width="10.296875" customWidth="1"/>
    <col min="13892" max="13892" width="15.796875" customWidth="1"/>
    <col min="13894" max="13894" width="6.69921875" customWidth="1"/>
    <col min="14081" max="14081" width="0.296875" customWidth="1"/>
    <col min="14082" max="14082" width="17.19921875" customWidth="1"/>
    <col min="14083" max="14083" width="13.296875" customWidth="1"/>
    <col min="14084" max="14084" width="9.59765625" customWidth="1"/>
    <col min="14085" max="14085" width="13.2968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796875" customWidth="1"/>
    <col min="14095" max="14095" width="11.296875" customWidth="1"/>
    <col min="14096" max="14096" width="11.69921875" customWidth="1"/>
    <col min="14097" max="14097" width="10.796875" customWidth="1"/>
    <col min="14098" max="14098" width="16" customWidth="1"/>
    <col min="14099" max="14099" width="14.09765625" customWidth="1"/>
    <col min="14100" max="14100" width="11.69921875" customWidth="1"/>
    <col min="14101" max="14101" width="13.2968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296875" customWidth="1"/>
    <col min="14111" max="14112" width="13.19921875" customWidth="1"/>
    <col min="14113" max="14113" width="8.19921875" bestFit="1" customWidth="1"/>
    <col min="14114" max="14114" width="10" customWidth="1"/>
    <col min="14116" max="14116" width="9.69921875" customWidth="1"/>
    <col min="14117" max="14117" width="9.296875" customWidth="1"/>
    <col min="14118" max="14118" width="10.5" bestFit="1" customWidth="1"/>
    <col min="14125" max="14125" width="9.59765625" customWidth="1"/>
    <col min="14126" max="14126" width="14.69921875" customWidth="1"/>
    <col min="14127" max="14127" width="11.296875" customWidth="1"/>
    <col min="14128" max="14128" width="9.7968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796875" customWidth="1"/>
    <col min="14140" max="14140" width="9.59765625" bestFit="1" customWidth="1"/>
    <col min="14141" max="14141" width="9.296875" customWidth="1"/>
    <col min="14143" max="14143" width="7.19921875" customWidth="1"/>
    <col min="14144" max="14144" width="0" hidden="1" customWidth="1"/>
    <col min="14146" max="14146" width="9.296875" customWidth="1"/>
    <col min="14147" max="14147" width="10.296875" customWidth="1"/>
    <col min="14148" max="14148" width="15.796875" customWidth="1"/>
    <col min="14150" max="14150" width="6.69921875" customWidth="1"/>
    <col min="14337" max="14337" width="0.296875" customWidth="1"/>
    <col min="14338" max="14338" width="17.19921875" customWidth="1"/>
    <col min="14339" max="14339" width="13.296875" customWidth="1"/>
    <col min="14340" max="14340" width="9.59765625" customWidth="1"/>
    <col min="14341" max="14341" width="13.2968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796875" customWidth="1"/>
    <col min="14351" max="14351" width="11.296875" customWidth="1"/>
    <col min="14352" max="14352" width="11.69921875" customWidth="1"/>
    <col min="14353" max="14353" width="10.796875" customWidth="1"/>
    <col min="14354" max="14354" width="16" customWidth="1"/>
    <col min="14355" max="14355" width="14.09765625" customWidth="1"/>
    <col min="14356" max="14356" width="11.69921875" customWidth="1"/>
    <col min="14357" max="14357" width="13.2968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296875" customWidth="1"/>
    <col min="14367" max="14368" width="13.19921875" customWidth="1"/>
    <col min="14369" max="14369" width="8.19921875" bestFit="1" customWidth="1"/>
    <col min="14370" max="14370" width="10" customWidth="1"/>
    <col min="14372" max="14372" width="9.69921875" customWidth="1"/>
    <col min="14373" max="14373" width="9.296875" customWidth="1"/>
    <col min="14374" max="14374" width="10.5" bestFit="1" customWidth="1"/>
    <col min="14381" max="14381" width="9.59765625" customWidth="1"/>
    <col min="14382" max="14382" width="14.69921875" customWidth="1"/>
    <col min="14383" max="14383" width="11.296875" customWidth="1"/>
    <col min="14384" max="14384" width="9.7968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796875" customWidth="1"/>
    <col min="14396" max="14396" width="9.59765625" bestFit="1" customWidth="1"/>
    <col min="14397" max="14397" width="9.296875" customWidth="1"/>
    <col min="14399" max="14399" width="7.19921875" customWidth="1"/>
    <col min="14400" max="14400" width="0" hidden="1" customWidth="1"/>
    <col min="14402" max="14402" width="9.296875" customWidth="1"/>
    <col min="14403" max="14403" width="10.296875" customWidth="1"/>
    <col min="14404" max="14404" width="15.796875" customWidth="1"/>
    <col min="14406" max="14406" width="6.69921875" customWidth="1"/>
    <col min="14593" max="14593" width="0.296875" customWidth="1"/>
    <col min="14594" max="14594" width="17.19921875" customWidth="1"/>
    <col min="14595" max="14595" width="13.296875" customWidth="1"/>
    <col min="14596" max="14596" width="9.59765625" customWidth="1"/>
    <col min="14597" max="14597" width="13.2968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796875" customWidth="1"/>
    <col min="14607" max="14607" width="11.296875" customWidth="1"/>
    <col min="14608" max="14608" width="11.69921875" customWidth="1"/>
    <col min="14609" max="14609" width="10.796875" customWidth="1"/>
    <col min="14610" max="14610" width="16" customWidth="1"/>
    <col min="14611" max="14611" width="14.09765625" customWidth="1"/>
    <col min="14612" max="14612" width="11.69921875" customWidth="1"/>
    <col min="14613" max="14613" width="13.2968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296875" customWidth="1"/>
    <col min="14623" max="14624" width="13.19921875" customWidth="1"/>
    <col min="14625" max="14625" width="8.19921875" bestFit="1" customWidth="1"/>
    <col min="14626" max="14626" width="10" customWidth="1"/>
    <col min="14628" max="14628" width="9.69921875" customWidth="1"/>
    <col min="14629" max="14629" width="9.296875" customWidth="1"/>
    <col min="14630" max="14630" width="10.5" bestFit="1" customWidth="1"/>
    <col min="14637" max="14637" width="9.59765625" customWidth="1"/>
    <col min="14638" max="14638" width="14.69921875" customWidth="1"/>
    <col min="14639" max="14639" width="11.296875" customWidth="1"/>
    <col min="14640" max="14640" width="9.7968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796875" customWidth="1"/>
    <col min="14652" max="14652" width="9.59765625" bestFit="1" customWidth="1"/>
    <col min="14653" max="14653" width="9.296875" customWidth="1"/>
    <col min="14655" max="14655" width="7.19921875" customWidth="1"/>
    <col min="14656" max="14656" width="0" hidden="1" customWidth="1"/>
    <col min="14658" max="14658" width="9.296875" customWidth="1"/>
    <col min="14659" max="14659" width="10.296875" customWidth="1"/>
    <col min="14660" max="14660" width="15.796875" customWidth="1"/>
    <col min="14662" max="14662" width="6.69921875" customWidth="1"/>
    <col min="14849" max="14849" width="0.296875" customWidth="1"/>
    <col min="14850" max="14850" width="17.19921875" customWidth="1"/>
    <col min="14851" max="14851" width="13.296875" customWidth="1"/>
    <col min="14852" max="14852" width="9.59765625" customWidth="1"/>
    <col min="14853" max="14853" width="13.2968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796875" customWidth="1"/>
    <col min="14863" max="14863" width="11.296875" customWidth="1"/>
    <col min="14864" max="14864" width="11.69921875" customWidth="1"/>
    <col min="14865" max="14865" width="10.796875" customWidth="1"/>
    <col min="14866" max="14866" width="16" customWidth="1"/>
    <col min="14867" max="14867" width="14.09765625" customWidth="1"/>
    <col min="14868" max="14868" width="11.69921875" customWidth="1"/>
    <col min="14869" max="14869" width="13.2968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296875" customWidth="1"/>
    <col min="14879" max="14880" width="13.19921875" customWidth="1"/>
    <col min="14881" max="14881" width="8.19921875" bestFit="1" customWidth="1"/>
    <col min="14882" max="14882" width="10" customWidth="1"/>
    <col min="14884" max="14884" width="9.69921875" customWidth="1"/>
    <col min="14885" max="14885" width="9.296875" customWidth="1"/>
    <col min="14886" max="14886" width="10.5" bestFit="1" customWidth="1"/>
    <col min="14893" max="14893" width="9.59765625" customWidth="1"/>
    <col min="14894" max="14894" width="14.69921875" customWidth="1"/>
    <col min="14895" max="14895" width="11.296875" customWidth="1"/>
    <col min="14896" max="14896" width="9.7968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796875" customWidth="1"/>
    <col min="14908" max="14908" width="9.59765625" bestFit="1" customWidth="1"/>
    <col min="14909" max="14909" width="9.296875" customWidth="1"/>
    <col min="14911" max="14911" width="7.19921875" customWidth="1"/>
    <col min="14912" max="14912" width="0" hidden="1" customWidth="1"/>
    <col min="14914" max="14914" width="9.296875" customWidth="1"/>
    <col min="14915" max="14915" width="10.296875" customWidth="1"/>
    <col min="14916" max="14916" width="15.796875" customWidth="1"/>
    <col min="14918" max="14918" width="6.69921875" customWidth="1"/>
    <col min="15105" max="15105" width="0.296875" customWidth="1"/>
    <col min="15106" max="15106" width="17.19921875" customWidth="1"/>
    <col min="15107" max="15107" width="13.296875" customWidth="1"/>
    <col min="15108" max="15108" width="9.59765625" customWidth="1"/>
    <col min="15109" max="15109" width="13.2968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796875" customWidth="1"/>
    <col min="15119" max="15119" width="11.296875" customWidth="1"/>
    <col min="15120" max="15120" width="11.69921875" customWidth="1"/>
    <col min="15121" max="15121" width="10.796875" customWidth="1"/>
    <col min="15122" max="15122" width="16" customWidth="1"/>
    <col min="15123" max="15123" width="14.09765625" customWidth="1"/>
    <col min="15124" max="15124" width="11.69921875" customWidth="1"/>
    <col min="15125" max="15125" width="13.2968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296875" customWidth="1"/>
    <col min="15135" max="15136" width="13.19921875" customWidth="1"/>
    <col min="15137" max="15137" width="8.19921875" bestFit="1" customWidth="1"/>
    <col min="15138" max="15138" width="10" customWidth="1"/>
    <col min="15140" max="15140" width="9.69921875" customWidth="1"/>
    <col min="15141" max="15141" width="9.296875" customWidth="1"/>
    <col min="15142" max="15142" width="10.5" bestFit="1" customWidth="1"/>
    <col min="15149" max="15149" width="9.59765625" customWidth="1"/>
    <col min="15150" max="15150" width="14.69921875" customWidth="1"/>
    <col min="15151" max="15151" width="11.296875" customWidth="1"/>
    <col min="15152" max="15152" width="9.7968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796875" customWidth="1"/>
    <col min="15164" max="15164" width="9.59765625" bestFit="1" customWidth="1"/>
    <col min="15165" max="15165" width="9.296875" customWidth="1"/>
    <col min="15167" max="15167" width="7.19921875" customWidth="1"/>
    <col min="15168" max="15168" width="0" hidden="1" customWidth="1"/>
    <col min="15170" max="15170" width="9.296875" customWidth="1"/>
    <col min="15171" max="15171" width="10.296875" customWidth="1"/>
    <col min="15172" max="15172" width="15.796875" customWidth="1"/>
    <col min="15174" max="15174" width="6.69921875" customWidth="1"/>
    <col min="15361" max="15361" width="0.296875" customWidth="1"/>
    <col min="15362" max="15362" width="17.19921875" customWidth="1"/>
    <col min="15363" max="15363" width="13.296875" customWidth="1"/>
    <col min="15364" max="15364" width="9.59765625" customWidth="1"/>
    <col min="15365" max="15365" width="13.2968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796875" customWidth="1"/>
    <col min="15375" max="15375" width="11.296875" customWidth="1"/>
    <col min="15376" max="15376" width="11.69921875" customWidth="1"/>
    <col min="15377" max="15377" width="10.796875" customWidth="1"/>
    <col min="15378" max="15378" width="16" customWidth="1"/>
    <col min="15379" max="15379" width="14.09765625" customWidth="1"/>
    <col min="15380" max="15380" width="11.69921875" customWidth="1"/>
    <col min="15381" max="15381" width="13.2968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296875" customWidth="1"/>
    <col min="15391" max="15392" width="13.19921875" customWidth="1"/>
    <col min="15393" max="15393" width="8.19921875" bestFit="1" customWidth="1"/>
    <col min="15394" max="15394" width="10" customWidth="1"/>
    <col min="15396" max="15396" width="9.69921875" customWidth="1"/>
    <col min="15397" max="15397" width="9.296875" customWidth="1"/>
    <col min="15398" max="15398" width="10.5" bestFit="1" customWidth="1"/>
    <col min="15405" max="15405" width="9.59765625" customWidth="1"/>
    <col min="15406" max="15406" width="14.69921875" customWidth="1"/>
    <col min="15407" max="15407" width="11.296875" customWidth="1"/>
    <col min="15408" max="15408" width="9.7968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796875" customWidth="1"/>
    <col min="15420" max="15420" width="9.59765625" bestFit="1" customWidth="1"/>
    <col min="15421" max="15421" width="9.296875" customWidth="1"/>
    <col min="15423" max="15423" width="7.19921875" customWidth="1"/>
    <col min="15424" max="15424" width="0" hidden="1" customWidth="1"/>
    <col min="15426" max="15426" width="9.296875" customWidth="1"/>
    <col min="15427" max="15427" width="10.296875" customWidth="1"/>
    <col min="15428" max="15428" width="15.796875" customWidth="1"/>
    <col min="15430" max="15430" width="6.69921875" customWidth="1"/>
    <col min="15617" max="15617" width="0.296875" customWidth="1"/>
    <col min="15618" max="15618" width="17.19921875" customWidth="1"/>
    <col min="15619" max="15619" width="13.296875" customWidth="1"/>
    <col min="15620" max="15620" width="9.59765625" customWidth="1"/>
    <col min="15621" max="15621" width="13.2968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796875" customWidth="1"/>
    <col min="15631" max="15631" width="11.296875" customWidth="1"/>
    <col min="15632" max="15632" width="11.69921875" customWidth="1"/>
    <col min="15633" max="15633" width="10.796875" customWidth="1"/>
    <col min="15634" max="15634" width="16" customWidth="1"/>
    <col min="15635" max="15635" width="14.09765625" customWidth="1"/>
    <col min="15636" max="15636" width="11.69921875" customWidth="1"/>
    <col min="15637" max="15637" width="13.2968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296875" customWidth="1"/>
    <col min="15647" max="15648" width="13.19921875" customWidth="1"/>
    <col min="15649" max="15649" width="8.19921875" bestFit="1" customWidth="1"/>
    <col min="15650" max="15650" width="10" customWidth="1"/>
    <col min="15652" max="15652" width="9.69921875" customWidth="1"/>
    <col min="15653" max="15653" width="9.296875" customWidth="1"/>
    <col min="15654" max="15654" width="10.5" bestFit="1" customWidth="1"/>
    <col min="15661" max="15661" width="9.59765625" customWidth="1"/>
    <col min="15662" max="15662" width="14.69921875" customWidth="1"/>
    <col min="15663" max="15663" width="11.296875" customWidth="1"/>
    <col min="15664" max="15664" width="9.7968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796875" customWidth="1"/>
    <col min="15676" max="15676" width="9.59765625" bestFit="1" customWidth="1"/>
    <col min="15677" max="15677" width="9.296875" customWidth="1"/>
    <col min="15679" max="15679" width="7.19921875" customWidth="1"/>
    <col min="15680" max="15680" width="0" hidden="1" customWidth="1"/>
    <col min="15682" max="15682" width="9.296875" customWidth="1"/>
    <col min="15683" max="15683" width="10.296875" customWidth="1"/>
    <col min="15684" max="15684" width="15.796875" customWidth="1"/>
    <col min="15686" max="15686" width="6.69921875" customWidth="1"/>
    <col min="15873" max="15873" width="0.296875" customWidth="1"/>
    <col min="15874" max="15874" width="17.19921875" customWidth="1"/>
    <col min="15875" max="15875" width="13.296875" customWidth="1"/>
    <col min="15876" max="15876" width="9.59765625" customWidth="1"/>
    <col min="15877" max="15877" width="13.2968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796875" customWidth="1"/>
    <col min="15887" max="15887" width="11.296875" customWidth="1"/>
    <col min="15888" max="15888" width="11.69921875" customWidth="1"/>
    <col min="15889" max="15889" width="10.796875" customWidth="1"/>
    <col min="15890" max="15890" width="16" customWidth="1"/>
    <col min="15891" max="15891" width="14.09765625" customWidth="1"/>
    <col min="15892" max="15892" width="11.69921875" customWidth="1"/>
    <col min="15893" max="15893" width="13.2968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296875" customWidth="1"/>
    <col min="15903" max="15904" width="13.19921875" customWidth="1"/>
    <col min="15905" max="15905" width="8.19921875" bestFit="1" customWidth="1"/>
    <col min="15906" max="15906" width="10" customWidth="1"/>
    <col min="15908" max="15908" width="9.69921875" customWidth="1"/>
    <col min="15909" max="15909" width="9.296875" customWidth="1"/>
    <col min="15910" max="15910" width="10.5" bestFit="1" customWidth="1"/>
    <col min="15917" max="15917" width="9.59765625" customWidth="1"/>
    <col min="15918" max="15918" width="14.69921875" customWidth="1"/>
    <col min="15919" max="15919" width="11.296875" customWidth="1"/>
    <col min="15920" max="15920" width="9.7968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796875" customWidth="1"/>
    <col min="15932" max="15932" width="9.59765625" bestFit="1" customWidth="1"/>
    <col min="15933" max="15933" width="9.296875" customWidth="1"/>
    <col min="15935" max="15935" width="7.19921875" customWidth="1"/>
    <col min="15936" max="15936" width="0" hidden="1" customWidth="1"/>
    <col min="15938" max="15938" width="9.296875" customWidth="1"/>
    <col min="15939" max="15939" width="10.296875" customWidth="1"/>
    <col min="15940" max="15940" width="15.796875" customWidth="1"/>
    <col min="15942" max="15942" width="6.69921875" customWidth="1"/>
    <col min="16129" max="16129" width="0.296875" customWidth="1"/>
    <col min="16130" max="16130" width="17.19921875" customWidth="1"/>
    <col min="16131" max="16131" width="13.296875" customWidth="1"/>
    <col min="16132" max="16132" width="9.59765625" customWidth="1"/>
    <col min="16133" max="16133" width="13.2968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796875" customWidth="1"/>
    <col min="16143" max="16143" width="11.296875" customWidth="1"/>
    <col min="16144" max="16144" width="11.69921875" customWidth="1"/>
    <col min="16145" max="16145" width="10.796875" customWidth="1"/>
    <col min="16146" max="16146" width="16" customWidth="1"/>
    <col min="16147" max="16147" width="14.09765625" customWidth="1"/>
    <col min="16148" max="16148" width="11.69921875" customWidth="1"/>
    <col min="16149" max="16149" width="13.2968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296875" customWidth="1"/>
    <col min="16159" max="16160" width="13.19921875" customWidth="1"/>
    <col min="16161" max="16161" width="8.19921875" bestFit="1" customWidth="1"/>
    <col min="16162" max="16162" width="10" customWidth="1"/>
    <col min="16164" max="16164" width="9.69921875" customWidth="1"/>
    <col min="16165" max="16165" width="9.296875" customWidth="1"/>
    <col min="16166" max="16166" width="10.5" bestFit="1" customWidth="1"/>
    <col min="16173" max="16173" width="9.59765625" customWidth="1"/>
    <col min="16174" max="16174" width="14.69921875" customWidth="1"/>
    <col min="16175" max="16175" width="11.296875" customWidth="1"/>
    <col min="16176" max="16176" width="9.7968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796875" customWidth="1"/>
    <col min="16188" max="16188" width="9.59765625" bestFit="1" customWidth="1"/>
    <col min="16189" max="16189" width="9.296875" customWidth="1"/>
    <col min="16191" max="16191" width="7.19921875" customWidth="1"/>
    <col min="16192" max="16192" width="0" hidden="1" customWidth="1"/>
    <col min="16194" max="16194" width="9.296875" customWidth="1"/>
    <col min="16195" max="16195" width="10.296875" customWidth="1"/>
    <col min="16196" max="16196" width="15.796875" customWidth="1"/>
    <col min="16198" max="16198" width="6.69921875" customWidth="1"/>
  </cols>
  <sheetData>
    <row r="1" spans="1:124" ht="15" thickTop="1" thickBot="1" x14ac:dyDescent="0.3">
      <c r="B1" s="22" t="s">
        <v>51</v>
      </c>
      <c r="C1" s="23"/>
      <c r="D1" s="24"/>
      <c r="E1" s="24"/>
      <c r="F1" s="25"/>
      <c r="G1" s="26"/>
      <c r="H1" s="26" t="s">
        <v>52</v>
      </c>
      <c r="I1" s="26"/>
      <c r="J1" s="26"/>
      <c r="K1" s="26"/>
      <c r="L1" s="26"/>
      <c r="M1" s="26"/>
      <c r="N1" s="26"/>
      <c r="O1" s="26"/>
      <c r="P1" s="26" t="e">
        <f>N82</f>
        <v>#N/A</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58</v>
      </c>
      <c r="C2" s="28" t="s">
        <v>59</v>
      </c>
      <c r="D2" s="29"/>
      <c r="E2" s="29"/>
      <c r="F2" s="30" t="s">
        <v>608</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609</v>
      </c>
      <c r="C4" s="32"/>
      <c r="D4" s="206" t="s">
        <v>73</v>
      </c>
      <c r="E4" s="206"/>
      <c r="F4" s="206"/>
      <c r="G4" s="206"/>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80</v>
      </c>
      <c r="E6" s="37"/>
      <c r="F6" s="40"/>
      <c r="G6" s="26"/>
      <c r="H6" s="26"/>
      <c r="I6" s="26"/>
      <c r="J6" s="26"/>
      <c r="K6" s="26"/>
      <c r="L6" s="26"/>
      <c r="M6" s="26"/>
      <c r="N6" s="26" t="s">
        <v>81</v>
      </c>
      <c r="O6" s="26" t="s">
        <v>82</v>
      </c>
      <c r="P6" s="26">
        <f>P4*C9</f>
        <v>0</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90</v>
      </c>
      <c r="C8" s="42">
        <v>0</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98</v>
      </c>
      <c r="C9" s="44">
        <v>0</v>
      </c>
      <c r="D9" s="208" t="s">
        <v>99</v>
      </c>
      <c r="E9" s="209"/>
      <c r="F9" s="26"/>
      <c r="G9" s="187" t="s">
        <v>606</v>
      </c>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25">
      <c r="B10" s="41" t="s">
        <v>109</v>
      </c>
      <c r="C10" s="188">
        <f>F14</f>
        <v>0</v>
      </c>
      <c r="D10" s="45" t="s">
        <v>110</v>
      </c>
      <c r="E10" s="38"/>
      <c r="F10" s="26"/>
      <c r="G10" s="26"/>
      <c r="H10" s="186">
        <v>0</v>
      </c>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25">
      <c r="B11" s="46" t="s">
        <v>32</v>
      </c>
      <c r="C11" s="47">
        <v>0</v>
      </c>
      <c r="D11" s="208" t="s">
        <v>117</v>
      </c>
      <c r="E11" s="209"/>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25">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25">
      <c r="A13" s="48"/>
      <c r="B13" s="46" t="s">
        <v>5</v>
      </c>
      <c r="C13" s="47">
        <v>0</v>
      </c>
      <c r="D13" s="208" t="s">
        <v>117</v>
      </c>
      <c r="E13" s="209"/>
      <c r="F13" s="26"/>
      <c r="G13" s="26"/>
      <c r="H13" s="26"/>
      <c r="I13" s="26"/>
      <c r="J13" s="26"/>
      <c r="K13" s="26" t="e">
        <f>($I$7+$I$8+#REF!+$I$11+#REF!+500)*1.2%*($C$7)*C9</f>
        <v>#REF!</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8" t="s">
        <v>132</v>
      </c>
      <c r="E14" s="209"/>
      <c r="F14" s="26">
        <f>F16*(F15+1)</f>
        <v>0</v>
      </c>
      <c r="G14" s="26"/>
      <c r="H14" s="26"/>
      <c r="I14" s="26"/>
      <c r="J14" s="26"/>
      <c r="K14" s="26" t="e">
        <f>($I$7+$I$8+#REF!+$I$11+#REF!+500)*1.2%*($C$8)*C9</f>
        <v>#REF!</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25">
      <c r="B16" s="34" t="s">
        <v>147</v>
      </c>
      <c r="C16" s="39">
        <v>1</v>
      </c>
      <c r="D16" s="208" t="s">
        <v>148</v>
      </c>
      <c r="E16" s="209"/>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154</v>
      </c>
      <c r="E17" s="38"/>
      <c r="F17" s="26"/>
      <c r="G17" s="26"/>
      <c r="H17" s="26"/>
      <c r="I17" s="26"/>
      <c r="J17" s="26"/>
      <c r="K17" s="26"/>
      <c r="L17" s="26"/>
      <c r="M17" s="26"/>
      <c r="N17" s="26"/>
      <c r="O17" s="26"/>
      <c r="P17" s="26" t="s">
        <v>155</v>
      </c>
      <c r="Q17" s="26">
        <v>0</v>
      </c>
      <c r="R17" s="26">
        <f>R10*1.2%*C8</f>
        <v>0</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25">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8"/>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2"/>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35">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25">
      <c r="B25" s="57" t="s">
        <v>260</v>
      </c>
      <c r="C25" s="57">
        <v>1</v>
      </c>
      <c r="D25" s="57">
        <v>0</v>
      </c>
      <c r="E25" s="57">
        <v>0</v>
      </c>
      <c r="F25" s="204">
        <f>SUM(C25:E25)</f>
        <v>1</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25">
      <c r="B26" s="51" t="s">
        <v>268</v>
      </c>
      <c r="C26" s="54">
        <f>C25*1</f>
        <v>1</v>
      </c>
      <c r="D26" s="54">
        <f>D25*1.1</f>
        <v>0</v>
      </c>
      <c r="E26" s="54">
        <f>E25*2</f>
        <v>0</v>
      </c>
      <c r="F26" s="59">
        <f>SUM(C26:E26)</f>
        <v>1</v>
      </c>
      <c r="G26" s="26" t="s">
        <v>269</v>
      </c>
      <c r="H26" s="26"/>
      <c r="I26" s="26"/>
      <c r="J26" s="26"/>
      <c r="K26" s="26"/>
      <c r="L26" s="26"/>
      <c r="M26" s="26"/>
      <c r="N26" s="26"/>
      <c r="O26" s="26"/>
      <c r="P26" s="26"/>
      <c r="Q26" s="26" t="e">
        <f>SUM(Q10:Q25)</f>
        <v>#REF!</v>
      </c>
      <c r="R26" s="26">
        <f>SUM(R10:R24)*'[1]נתוני מס'!L22*(1+'[1]נתוני מס'!L23)</f>
        <v>366.65056266641858</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
      <c r="C27" s="60"/>
      <c r="D27" s="60" t="s">
        <v>181</v>
      </c>
      <c r="E27" s="60"/>
      <c r="G27" s="26"/>
      <c r="H27" s="26"/>
      <c r="I27" s="26"/>
      <c r="J27" s="26"/>
      <c r="K27" s="26"/>
      <c r="L27" s="26"/>
      <c r="M27" s="26"/>
      <c r="N27" s="26"/>
      <c r="O27" s="26"/>
      <c r="P27" s="26"/>
      <c r="Q27" s="26"/>
      <c r="R27" s="26">
        <f>SUM(R10:R26)</f>
        <v>8167.7263640795791</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35">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25">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25">
      <c r="B30" s="51" t="s">
        <v>268</v>
      </c>
      <c r="C30" s="54">
        <f>C29*2.4</f>
        <v>36</v>
      </c>
      <c r="D30" s="54">
        <f>D29*2.2</f>
        <v>0</v>
      </c>
      <c r="E30" s="54">
        <f>E29*2</f>
        <v>0</v>
      </c>
      <c r="F30" s="185">
        <f>SUM(C30:E30)</f>
        <v>36</v>
      </c>
      <c r="G30" s="26"/>
      <c r="H30" s="26"/>
      <c r="I30" s="26"/>
      <c r="J30" s="26"/>
      <c r="K30" s="26"/>
      <c r="L30" s="26"/>
      <c r="M30" s="26"/>
      <c r="N30" s="26"/>
      <c r="O30" s="26" t="s">
        <v>298</v>
      </c>
      <c r="P30" s="26">
        <f>IF($C$21=$S$723,15%,15%*0.8)</f>
        <v>0.12</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25">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25">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25">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25">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25">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25">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25">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25">
      <c r="B39" s="26" t="s">
        <v>373</v>
      </c>
      <c r="C39" s="26">
        <f>IF($C$38="א-ו",J111,IF($C$38="ז-ח",J112,IF($C$38="חטיבת ביניים",J112-2.5%,#REF!)))</f>
        <v>0</v>
      </c>
      <c r="D39" s="26" t="s">
        <v>374</v>
      </c>
      <c r="E39" s="26"/>
      <c r="F39" s="26"/>
      <c r="G39" s="26"/>
      <c r="H39" s="26"/>
      <c r="I39" s="26">
        <v>3</v>
      </c>
      <c r="J39" s="26">
        <f>IF(C21=S723,1*L853,IF(C21=S724,0.75*L853,IF(C21=S725,0.6836*L853,0.5948*L853)))</f>
        <v>0.5948</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0</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439</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447</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452</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277</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58</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486</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70</v>
      </c>
      <c r="C169" s="26" t="s">
        <v>508</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509</v>
      </c>
      <c r="D170" s="26"/>
      <c r="E170" s="26"/>
      <c r="F170" s="26"/>
      <c r="G170" s="26">
        <v>9</v>
      </c>
      <c r="H170" s="26" t="s">
        <v>58</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510</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511</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58</v>
      </c>
      <c r="C173" s="26"/>
      <c r="D173" s="26"/>
      <c r="E173" s="26"/>
      <c r="F173" s="26" t="s">
        <v>197</v>
      </c>
      <c r="G173" s="26"/>
      <c r="H173" s="26" t="s">
        <v>512</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514</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515</v>
      </c>
      <c r="D177" s="26" t="s">
        <v>58</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516</v>
      </c>
      <c r="D178" s="26" t="s">
        <v>517</v>
      </c>
      <c r="E178" s="26"/>
      <c r="F178" s="26" t="s">
        <v>518</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476</v>
      </c>
      <c r="D179" s="26" t="s">
        <v>519</v>
      </c>
      <c r="E179" s="26"/>
      <c r="F179" s="26" t="s">
        <v>520</v>
      </c>
      <c r="G179" s="26" t="e">
        <f>#REF!</f>
        <v>#REF!</v>
      </c>
      <c r="H179" s="26"/>
      <c r="I179" s="26" t="s">
        <v>58</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521</v>
      </c>
      <c r="D180" s="26" t="s">
        <v>475</v>
      </c>
      <c r="E180" s="26"/>
      <c r="F180" s="26" t="s">
        <v>522</v>
      </c>
      <c r="G180" s="26">
        <f>G202</f>
        <v>52.87</v>
      </c>
      <c r="H180" s="26"/>
      <c r="I180" s="26" t="s">
        <v>58</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523</v>
      </c>
      <c r="D181" s="26" t="s">
        <v>524</v>
      </c>
      <c r="E181" s="26"/>
      <c r="F181" s="26"/>
      <c r="G181" s="26" t="s">
        <v>525</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528</v>
      </c>
      <c r="D183" s="26" t="s">
        <v>478</v>
      </c>
      <c r="E183" s="26"/>
      <c r="F183" s="26" t="e">
        <f>#REF!/#REF!*F187</f>
        <v>#REF!</v>
      </c>
      <c r="G183" s="26" t="s">
        <v>529</v>
      </c>
      <c r="H183" s="26"/>
      <c r="I183" s="26"/>
      <c r="J183" s="26" t="s">
        <v>58</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530</v>
      </c>
      <c r="D184" s="26"/>
      <c r="E184" s="26"/>
      <c r="F184" s="26" t="e">
        <f>#REF!/#REF!*F187</f>
        <v>#REF!</v>
      </c>
      <c r="G184" s="26" t="s">
        <v>531</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532</v>
      </c>
      <c r="E185" s="26"/>
      <c r="F185" s="26" t="e">
        <f>#REF!/#REF!*F187</f>
        <v>#REF!</v>
      </c>
      <c r="G185" s="26" t="s">
        <v>533</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534</v>
      </c>
      <c r="C186" s="26" t="str">
        <f>C5</f>
        <v>ב"א</v>
      </c>
      <c r="D186" s="26"/>
      <c r="E186" s="26"/>
      <c r="F186" s="26" t="e">
        <f>#REF!/#REF!*F187</f>
        <v>#REF!</v>
      </c>
      <c r="G186" s="26" t="s">
        <v>535</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558</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58</v>
      </c>
      <c r="C208" s="26" t="s">
        <v>559</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58</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544</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58</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560</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561</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65.77</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-5.769999999999996</v>
      </c>
      <c r="P711" s="26" t="s">
        <v>95</v>
      </c>
      <c r="Q711" s="26">
        <f ca="1">Q710+O711</f>
        <v>-5.4099999999999957</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27.230000000000004</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53</v>
      </c>
      <c r="N738" s="26">
        <f ca="1">ROUND((I775-AT720)/365.25,2)</f>
        <v>13.26</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574</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-0.30959999999999999</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558</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4" zoomScale="85" zoomScaleNormal="85" workbookViewId="0">
      <selection activeCell="D4" sqref="D4"/>
    </sheetView>
  </sheetViews>
  <sheetFormatPr defaultRowHeight="13.8" x14ac:dyDescent="0.25"/>
  <cols>
    <col min="1" max="1" width="0.296875" customWidth="1"/>
    <col min="2" max="2" width="17.19921875" customWidth="1"/>
    <col min="3" max="3" width="13.296875" customWidth="1"/>
    <col min="4" max="4" width="9.59765625" style="10" customWidth="1"/>
    <col min="5" max="5" width="13.2968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796875" customWidth="1"/>
    <col min="15" max="15" width="11.296875" customWidth="1"/>
    <col min="16" max="16" width="11.69921875" customWidth="1"/>
    <col min="17" max="17" width="10.796875" customWidth="1"/>
    <col min="18" max="18" width="16" customWidth="1"/>
    <col min="19" max="19" width="14.09765625" customWidth="1"/>
    <col min="20" max="20" width="11.69921875" customWidth="1"/>
    <col min="21" max="21" width="13.2968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296875" customWidth="1"/>
    <col min="31" max="32" width="13.19921875" customWidth="1"/>
    <col min="33" max="33" width="8.19921875" bestFit="1" customWidth="1"/>
    <col min="34" max="34" width="10" style="64" customWidth="1"/>
    <col min="36" max="36" width="9.69921875" customWidth="1"/>
    <col min="37" max="37" width="9.296875" customWidth="1"/>
    <col min="38" max="38" width="10.5" bestFit="1" customWidth="1"/>
    <col min="45" max="45" width="9.59765625" customWidth="1"/>
    <col min="46" max="46" width="14.69921875" customWidth="1"/>
    <col min="47" max="47" width="11.296875" customWidth="1"/>
    <col min="48" max="48" width="9.7968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796875" customWidth="1"/>
    <col min="60" max="60" width="9.59765625" bestFit="1" customWidth="1"/>
    <col min="61" max="61" width="9.296875" customWidth="1"/>
    <col min="63" max="63" width="7.19921875" customWidth="1"/>
    <col min="64" max="64" width="0" hidden="1" customWidth="1"/>
    <col min="66" max="66" width="9.296875" customWidth="1"/>
    <col min="67" max="67" width="10.296875" customWidth="1"/>
    <col min="68" max="68" width="15.796875" customWidth="1"/>
    <col min="70" max="70" width="6.69921875" customWidth="1"/>
    <col min="257" max="257" width="0.296875" customWidth="1"/>
    <col min="258" max="258" width="17.19921875" customWidth="1"/>
    <col min="259" max="259" width="13.296875" customWidth="1"/>
    <col min="260" max="260" width="9.59765625" customWidth="1"/>
    <col min="261" max="261" width="13.2968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796875" customWidth="1"/>
    <col min="271" max="271" width="11.296875" customWidth="1"/>
    <col min="272" max="272" width="11.69921875" customWidth="1"/>
    <col min="273" max="273" width="10.796875" customWidth="1"/>
    <col min="274" max="274" width="16" customWidth="1"/>
    <col min="275" max="275" width="14.09765625" customWidth="1"/>
    <col min="276" max="276" width="11.69921875" customWidth="1"/>
    <col min="277" max="277" width="13.2968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296875" customWidth="1"/>
    <col min="287" max="288" width="13.19921875" customWidth="1"/>
    <col min="289" max="289" width="8.19921875" bestFit="1" customWidth="1"/>
    <col min="290" max="290" width="10" customWidth="1"/>
    <col min="292" max="292" width="9.69921875" customWidth="1"/>
    <col min="293" max="293" width="9.296875" customWidth="1"/>
    <col min="294" max="294" width="10.5" bestFit="1" customWidth="1"/>
    <col min="301" max="301" width="9.59765625" customWidth="1"/>
    <col min="302" max="302" width="14.69921875" customWidth="1"/>
    <col min="303" max="303" width="11.296875" customWidth="1"/>
    <col min="304" max="304" width="9.7968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796875" customWidth="1"/>
    <col min="316" max="316" width="9.59765625" bestFit="1" customWidth="1"/>
    <col min="317" max="317" width="9.296875" customWidth="1"/>
    <col min="319" max="319" width="7.19921875" customWidth="1"/>
    <col min="320" max="320" width="0" hidden="1" customWidth="1"/>
    <col min="322" max="322" width="9.296875" customWidth="1"/>
    <col min="323" max="323" width="10.296875" customWidth="1"/>
    <col min="324" max="324" width="15.796875" customWidth="1"/>
    <col min="326" max="326" width="6.69921875" customWidth="1"/>
    <col min="513" max="513" width="0.296875" customWidth="1"/>
    <col min="514" max="514" width="17.19921875" customWidth="1"/>
    <col min="515" max="515" width="13.296875" customWidth="1"/>
    <col min="516" max="516" width="9.59765625" customWidth="1"/>
    <col min="517" max="517" width="13.2968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796875" customWidth="1"/>
    <col min="527" max="527" width="11.296875" customWidth="1"/>
    <col min="528" max="528" width="11.69921875" customWidth="1"/>
    <col min="529" max="529" width="10.796875" customWidth="1"/>
    <col min="530" max="530" width="16" customWidth="1"/>
    <col min="531" max="531" width="14.09765625" customWidth="1"/>
    <col min="532" max="532" width="11.69921875" customWidth="1"/>
    <col min="533" max="533" width="13.2968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296875" customWidth="1"/>
    <col min="543" max="544" width="13.19921875" customWidth="1"/>
    <col min="545" max="545" width="8.19921875" bestFit="1" customWidth="1"/>
    <col min="546" max="546" width="10" customWidth="1"/>
    <col min="548" max="548" width="9.69921875" customWidth="1"/>
    <col min="549" max="549" width="9.296875" customWidth="1"/>
    <col min="550" max="550" width="10.5" bestFit="1" customWidth="1"/>
    <col min="557" max="557" width="9.59765625" customWidth="1"/>
    <col min="558" max="558" width="14.69921875" customWidth="1"/>
    <col min="559" max="559" width="11.296875" customWidth="1"/>
    <col min="560" max="560" width="9.7968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796875" customWidth="1"/>
    <col min="572" max="572" width="9.59765625" bestFit="1" customWidth="1"/>
    <col min="573" max="573" width="9.296875" customWidth="1"/>
    <col min="575" max="575" width="7.19921875" customWidth="1"/>
    <col min="576" max="576" width="0" hidden="1" customWidth="1"/>
    <col min="578" max="578" width="9.296875" customWidth="1"/>
    <col min="579" max="579" width="10.296875" customWidth="1"/>
    <col min="580" max="580" width="15.796875" customWidth="1"/>
    <col min="582" max="582" width="6.69921875" customWidth="1"/>
    <col min="769" max="769" width="0.296875" customWidth="1"/>
    <col min="770" max="770" width="17.19921875" customWidth="1"/>
    <col min="771" max="771" width="13.296875" customWidth="1"/>
    <col min="772" max="772" width="9.59765625" customWidth="1"/>
    <col min="773" max="773" width="13.2968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796875" customWidth="1"/>
    <col min="783" max="783" width="11.296875" customWidth="1"/>
    <col min="784" max="784" width="11.69921875" customWidth="1"/>
    <col min="785" max="785" width="10.796875" customWidth="1"/>
    <col min="786" max="786" width="16" customWidth="1"/>
    <col min="787" max="787" width="14.09765625" customWidth="1"/>
    <col min="788" max="788" width="11.69921875" customWidth="1"/>
    <col min="789" max="789" width="13.2968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296875" customWidth="1"/>
    <col min="799" max="800" width="13.19921875" customWidth="1"/>
    <col min="801" max="801" width="8.19921875" bestFit="1" customWidth="1"/>
    <col min="802" max="802" width="10" customWidth="1"/>
    <col min="804" max="804" width="9.69921875" customWidth="1"/>
    <col min="805" max="805" width="9.296875" customWidth="1"/>
    <col min="806" max="806" width="10.5" bestFit="1" customWidth="1"/>
    <col min="813" max="813" width="9.59765625" customWidth="1"/>
    <col min="814" max="814" width="14.69921875" customWidth="1"/>
    <col min="815" max="815" width="11.296875" customWidth="1"/>
    <col min="816" max="816" width="9.7968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796875" customWidth="1"/>
    <col min="828" max="828" width="9.59765625" bestFit="1" customWidth="1"/>
    <col min="829" max="829" width="9.296875" customWidth="1"/>
    <col min="831" max="831" width="7.19921875" customWidth="1"/>
    <col min="832" max="832" width="0" hidden="1" customWidth="1"/>
    <col min="834" max="834" width="9.296875" customWidth="1"/>
    <col min="835" max="835" width="10.296875" customWidth="1"/>
    <col min="836" max="836" width="15.796875" customWidth="1"/>
    <col min="838" max="838" width="6.69921875" customWidth="1"/>
    <col min="1025" max="1025" width="0.296875" customWidth="1"/>
    <col min="1026" max="1026" width="17.19921875" customWidth="1"/>
    <col min="1027" max="1027" width="13.296875" customWidth="1"/>
    <col min="1028" max="1028" width="9.59765625" customWidth="1"/>
    <col min="1029" max="1029" width="13.2968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796875" customWidth="1"/>
    <col min="1039" max="1039" width="11.296875" customWidth="1"/>
    <col min="1040" max="1040" width="11.69921875" customWidth="1"/>
    <col min="1041" max="1041" width="10.796875" customWidth="1"/>
    <col min="1042" max="1042" width="16" customWidth="1"/>
    <col min="1043" max="1043" width="14.09765625" customWidth="1"/>
    <col min="1044" max="1044" width="11.69921875" customWidth="1"/>
    <col min="1045" max="1045" width="13.2968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296875" customWidth="1"/>
    <col min="1055" max="1056" width="13.19921875" customWidth="1"/>
    <col min="1057" max="1057" width="8.19921875" bestFit="1" customWidth="1"/>
    <col min="1058" max="1058" width="10" customWidth="1"/>
    <col min="1060" max="1060" width="9.69921875" customWidth="1"/>
    <col min="1061" max="1061" width="9.296875" customWidth="1"/>
    <col min="1062" max="1062" width="10.5" bestFit="1" customWidth="1"/>
    <col min="1069" max="1069" width="9.59765625" customWidth="1"/>
    <col min="1070" max="1070" width="14.69921875" customWidth="1"/>
    <col min="1071" max="1071" width="11.296875" customWidth="1"/>
    <col min="1072" max="1072" width="9.7968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796875" customWidth="1"/>
    <col min="1084" max="1084" width="9.59765625" bestFit="1" customWidth="1"/>
    <col min="1085" max="1085" width="9.296875" customWidth="1"/>
    <col min="1087" max="1087" width="7.19921875" customWidth="1"/>
    <col min="1088" max="1088" width="0" hidden="1" customWidth="1"/>
    <col min="1090" max="1090" width="9.296875" customWidth="1"/>
    <col min="1091" max="1091" width="10.296875" customWidth="1"/>
    <col min="1092" max="1092" width="15.796875" customWidth="1"/>
    <col min="1094" max="1094" width="6.69921875" customWidth="1"/>
    <col min="1281" max="1281" width="0.296875" customWidth="1"/>
    <col min="1282" max="1282" width="17.19921875" customWidth="1"/>
    <col min="1283" max="1283" width="13.296875" customWidth="1"/>
    <col min="1284" max="1284" width="9.59765625" customWidth="1"/>
    <col min="1285" max="1285" width="13.2968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796875" customWidth="1"/>
    <col min="1295" max="1295" width="11.296875" customWidth="1"/>
    <col min="1296" max="1296" width="11.69921875" customWidth="1"/>
    <col min="1297" max="1297" width="10.796875" customWidth="1"/>
    <col min="1298" max="1298" width="16" customWidth="1"/>
    <col min="1299" max="1299" width="14.09765625" customWidth="1"/>
    <col min="1300" max="1300" width="11.69921875" customWidth="1"/>
    <col min="1301" max="1301" width="13.2968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296875" customWidth="1"/>
    <col min="1311" max="1312" width="13.19921875" customWidth="1"/>
    <col min="1313" max="1313" width="8.19921875" bestFit="1" customWidth="1"/>
    <col min="1314" max="1314" width="10" customWidth="1"/>
    <col min="1316" max="1316" width="9.69921875" customWidth="1"/>
    <col min="1317" max="1317" width="9.296875" customWidth="1"/>
    <col min="1318" max="1318" width="10.5" bestFit="1" customWidth="1"/>
    <col min="1325" max="1325" width="9.59765625" customWidth="1"/>
    <col min="1326" max="1326" width="14.69921875" customWidth="1"/>
    <col min="1327" max="1327" width="11.296875" customWidth="1"/>
    <col min="1328" max="1328" width="9.7968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796875" customWidth="1"/>
    <col min="1340" max="1340" width="9.59765625" bestFit="1" customWidth="1"/>
    <col min="1341" max="1341" width="9.296875" customWidth="1"/>
    <col min="1343" max="1343" width="7.19921875" customWidth="1"/>
    <col min="1344" max="1344" width="0" hidden="1" customWidth="1"/>
    <col min="1346" max="1346" width="9.296875" customWidth="1"/>
    <col min="1347" max="1347" width="10.296875" customWidth="1"/>
    <col min="1348" max="1348" width="15.796875" customWidth="1"/>
    <col min="1350" max="1350" width="6.69921875" customWidth="1"/>
    <col min="1537" max="1537" width="0.296875" customWidth="1"/>
    <col min="1538" max="1538" width="17.19921875" customWidth="1"/>
    <col min="1539" max="1539" width="13.296875" customWidth="1"/>
    <col min="1540" max="1540" width="9.59765625" customWidth="1"/>
    <col min="1541" max="1541" width="13.2968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796875" customWidth="1"/>
    <col min="1551" max="1551" width="11.296875" customWidth="1"/>
    <col min="1552" max="1552" width="11.69921875" customWidth="1"/>
    <col min="1553" max="1553" width="10.796875" customWidth="1"/>
    <col min="1554" max="1554" width="16" customWidth="1"/>
    <col min="1555" max="1555" width="14.09765625" customWidth="1"/>
    <col min="1556" max="1556" width="11.69921875" customWidth="1"/>
    <col min="1557" max="1557" width="13.2968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296875" customWidth="1"/>
    <col min="1567" max="1568" width="13.19921875" customWidth="1"/>
    <col min="1569" max="1569" width="8.19921875" bestFit="1" customWidth="1"/>
    <col min="1570" max="1570" width="10" customWidth="1"/>
    <col min="1572" max="1572" width="9.69921875" customWidth="1"/>
    <col min="1573" max="1573" width="9.296875" customWidth="1"/>
    <col min="1574" max="1574" width="10.5" bestFit="1" customWidth="1"/>
    <col min="1581" max="1581" width="9.59765625" customWidth="1"/>
    <col min="1582" max="1582" width="14.69921875" customWidth="1"/>
    <col min="1583" max="1583" width="11.296875" customWidth="1"/>
    <col min="1584" max="1584" width="9.7968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796875" customWidth="1"/>
    <col min="1596" max="1596" width="9.59765625" bestFit="1" customWidth="1"/>
    <col min="1597" max="1597" width="9.296875" customWidth="1"/>
    <col min="1599" max="1599" width="7.19921875" customWidth="1"/>
    <col min="1600" max="1600" width="0" hidden="1" customWidth="1"/>
    <col min="1602" max="1602" width="9.296875" customWidth="1"/>
    <col min="1603" max="1603" width="10.296875" customWidth="1"/>
    <col min="1604" max="1604" width="15.796875" customWidth="1"/>
    <col min="1606" max="1606" width="6.69921875" customWidth="1"/>
    <col min="1793" max="1793" width="0.296875" customWidth="1"/>
    <col min="1794" max="1794" width="17.19921875" customWidth="1"/>
    <col min="1795" max="1795" width="13.296875" customWidth="1"/>
    <col min="1796" max="1796" width="9.59765625" customWidth="1"/>
    <col min="1797" max="1797" width="13.2968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796875" customWidth="1"/>
    <col min="1807" max="1807" width="11.296875" customWidth="1"/>
    <col min="1808" max="1808" width="11.69921875" customWidth="1"/>
    <col min="1809" max="1809" width="10.796875" customWidth="1"/>
    <col min="1810" max="1810" width="16" customWidth="1"/>
    <col min="1811" max="1811" width="14.09765625" customWidth="1"/>
    <col min="1812" max="1812" width="11.69921875" customWidth="1"/>
    <col min="1813" max="1813" width="13.2968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296875" customWidth="1"/>
    <col min="1823" max="1824" width="13.19921875" customWidth="1"/>
    <col min="1825" max="1825" width="8.19921875" bestFit="1" customWidth="1"/>
    <col min="1826" max="1826" width="10" customWidth="1"/>
    <col min="1828" max="1828" width="9.69921875" customWidth="1"/>
    <col min="1829" max="1829" width="9.296875" customWidth="1"/>
    <col min="1830" max="1830" width="10.5" bestFit="1" customWidth="1"/>
    <col min="1837" max="1837" width="9.59765625" customWidth="1"/>
    <col min="1838" max="1838" width="14.69921875" customWidth="1"/>
    <col min="1839" max="1839" width="11.296875" customWidth="1"/>
    <col min="1840" max="1840" width="9.7968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796875" customWidth="1"/>
    <col min="1852" max="1852" width="9.59765625" bestFit="1" customWidth="1"/>
    <col min="1853" max="1853" width="9.296875" customWidth="1"/>
    <col min="1855" max="1855" width="7.19921875" customWidth="1"/>
    <col min="1856" max="1856" width="0" hidden="1" customWidth="1"/>
    <col min="1858" max="1858" width="9.296875" customWidth="1"/>
    <col min="1859" max="1859" width="10.296875" customWidth="1"/>
    <col min="1860" max="1860" width="15.796875" customWidth="1"/>
    <col min="1862" max="1862" width="6.69921875" customWidth="1"/>
    <col min="2049" max="2049" width="0.296875" customWidth="1"/>
    <col min="2050" max="2050" width="17.19921875" customWidth="1"/>
    <col min="2051" max="2051" width="13.296875" customWidth="1"/>
    <col min="2052" max="2052" width="9.59765625" customWidth="1"/>
    <col min="2053" max="2053" width="13.2968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796875" customWidth="1"/>
    <col min="2063" max="2063" width="11.296875" customWidth="1"/>
    <col min="2064" max="2064" width="11.69921875" customWidth="1"/>
    <col min="2065" max="2065" width="10.796875" customWidth="1"/>
    <col min="2066" max="2066" width="16" customWidth="1"/>
    <col min="2067" max="2067" width="14.09765625" customWidth="1"/>
    <col min="2068" max="2068" width="11.69921875" customWidth="1"/>
    <col min="2069" max="2069" width="13.2968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296875" customWidth="1"/>
    <col min="2079" max="2080" width="13.19921875" customWidth="1"/>
    <col min="2081" max="2081" width="8.19921875" bestFit="1" customWidth="1"/>
    <col min="2082" max="2082" width="10" customWidth="1"/>
    <col min="2084" max="2084" width="9.69921875" customWidth="1"/>
    <col min="2085" max="2085" width="9.296875" customWidth="1"/>
    <col min="2086" max="2086" width="10.5" bestFit="1" customWidth="1"/>
    <col min="2093" max="2093" width="9.59765625" customWidth="1"/>
    <col min="2094" max="2094" width="14.69921875" customWidth="1"/>
    <col min="2095" max="2095" width="11.296875" customWidth="1"/>
    <col min="2096" max="2096" width="9.7968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796875" customWidth="1"/>
    <col min="2108" max="2108" width="9.59765625" bestFit="1" customWidth="1"/>
    <col min="2109" max="2109" width="9.296875" customWidth="1"/>
    <col min="2111" max="2111" width="7.19921875" customWidth="1"/>
    <col min="2112" max="2112" width="0" hidden="1" customWidth="1"/>
    <col min="2114" max="2114" width="9.296875" customWidth="1"/>
    <col min="2115" max="2115" width="10.296875" customWidth="1"/>
    <col min="2116" max="2116" width="15.796875" customWidth="1"/>
    <col min="2118" max="2118" width="6.69921875" customWidth="1"/>
    <col min="2305" max="2305" width="0.296875" customWidth="1"/>
    <col min="2306" max="2306" width="17.19921875" customWidth="1"/>
    <col min="2307" max="2307" width="13.296875" customWidth="1"/>
    <col min="2308" max="2308" width="9.59765625" customWidth="1"/>
    <col min="2309" max="2309" width="13.2968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796875" customWidth="1"/>
    <col min="2319" max="2319" width="11.296875" customWidth="1"/>
    <col min="2320" max="2320" width="11.69921875" customWidth="1"/>
    <col min="2321" max="2321" width="10.796875" customWidth="1"/>
    <col min="2322" max="2322" width="16" customWidth="1"/>
    <col min="2323" max="2323" width="14.09765625" customWidth="1"/>
    <col min="2324" max="2324" width="11.69921875" customWidth="1"/>
    <col min="2325" max="2325" width="13.2968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296875" customWidth="1"/>
    <col min="2335" max="2336" width="13.19921875" customWidth="1"/>
    <col min="2337" max="2337" width="8.19921875" bestFit="1" customWidth="1"/>
    <col min="2338" max="2338" width="10" customWidth="1"/>
    <col min="2340" max="2340" width="9.69921875" customWidth="1"/>
    <col min="2341" max="2341" width="9.296875" customWidth="1"/>
    <col min="2342" max="2342" width="10.5" bestFit="1" customWidth="1"/>
    <col min="2349" max="2349" width="9.59765625" customWidth="1"/>
    <col min="2350" max="2350" width="14.69921875" customWidth="1"/>
    <col min="2351" max="2351" width="11.296875" customWidth="1"/>
    <col min="2352" max="2352" width="9.7968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796875" customWidth="1"/>
    <col min="2364" max="2364" width="9.59765625" bestFit="1" customWidth="1"/>
    <col min="2365" max="2365" width="9.296875" customWidth="1"/>
    <col min="2367" max="2367" width="7.19921875" customWidth="1"/>
    <col min="2368" max="2368" width="0" hidden="1" customWidth="1"/>
    <col min="2370" max="2370" width="9.296875" customWidth="1"/>
    <col min="2371" max="2371" width="10.296875" customWidth="1"/>
    <col min="2372" max="2372" width="15.796875" customWidth="1"/>
    <col min="2374" max="2374" width="6.69921875" customWidth="1"/>
    <col min="2561" max="2561" width="0.296875" customWidth="1"/>
    <col min="2562" max="2562" width="17.19921875" customWidth="1"/>
    <col min="2563" max="2563" width="13.296875" customWidth="1"/>
    <col min="2564" max="2564" width="9.59765625" customWidth="1"/>
    <col min="2565" max="2565" width="13.2968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796875" customWidth="1"/>
    <col min="2575" max="2575" width="11.296875" customWidth="1"/>
    <col min="2576" max="2576" width="11.69921875" customWidth="1"/>
    <col min="2577" max="2577" width="10.796875" customWidth="1"/>
    <col min="2578" max="2578" width="16" customWidth="1"/>
    <col min="2579" max="2579" width="14.09765625" customWidth="1"/>
    <col min="2580" max="2580" width="11.69921875" customWidth="1"/>
    <col min="2581" max="2581" width="13.2968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296875" customWidth="1"/>
    <col min="2591" max="2592" width="13.19921875" customWidth="1"/>
    <col min="2593" max="2593" width="8.19921875" bestFit="1" customWidth="1"/>
    <col min="2594" max="2594" width="10" customWidth="1"/>
    <col min="2596" max="2596" width="9.69921875" customWidth="1"/>
    <col min="2597" max="2597" width="9.296875" customWidth="1"/>
    <col min="2598" max="2598" width="10.5" bestFit="1" customWidth="1"/>
    <col min="2605" max="2605" width="9.59765625" customWidth="1"/>
    <col min="2606" max="2606" width="14.69921875" customWidth="1"/>
    <col min="2607" max="2607" width="11.296875" customWidth="1"/>
    <col min="2608" max="2608" width="9.7968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796875" customWidth="1"/>
    <col min="2620" max="2620" width="9.59765625" bestFit="1" customWidth="1"/>
    <col min="2621" max="2621" width="9.296875" customWidth="1"/>
    <col min="2623" max="2623" width="7.19921875" customWidth="1"/>
    <col min="2624" max="2624" width="0" hidden="1" customWidth="1"/>
    <col min="2626" max="2626" width="9.296875" customWidth="1"/>
    <col min="2627" max="2627" width="10.296875" customWidth="1"/>
    <col min="2628" max="2628" width="15.796875" customWidth="1"/>
    <col min="2630" max="2630" width="6.69921875" customWidth="1"/>
    <col min="2817" max="2817" width="0.296875" customWidth="1"/>
    <col min="2818" max="2818" width="17.19921875" customWidth="1"/>
    <col min="2819" max="2819" width="13.296875" customWidth="1"/>
    <col min="2820" max="2820" width="9.59765625" customWidth="1"/>
    <col min="2821" max="2821" width="13.2968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796875" customWidth="1"/>
    <col min="2831" max="2831" width="11.296875" customWidth="1"/>
    <col min="2832" max="2832" width="11.69921875" customWidth="1"/>
    <col min="2833" max="2833" width="10.796875" customWidth="1"/>
    <col min="2834" max="2834" width="16" customWidth="1"/>
    <col min="2835" max="2835" width="14.09765625" customWidth="1"/>
    <col min="2836" max="2836" width="11.69921875" customWidth="1"/>
    <col min="2837" max="2837" width="13.2968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296875" customWidth="1"/>
    <col min="2847" max="2848" width="13.19921875" customWidth="1"/>
    <col min="2849" max="2849" width="8.19921875" bestFit="1" customWidth="1"/>
    <col min="2850" max="2850" width="10" customWidth="1"/>
    <col min="2852" max="2852" width="9.69921875" customWidth="1"/>
    <col min="2853" max="2853" width="9.296875" customWidth="1"/>
    <col min="2854" max="2854" width="10.5" bestFit="1" customWidth="1"/>
    <col min="2861" max="2861" width="9.59765625" customWidth="1"/>
    <col min="2862" max="2862" width="14.69921875" customWidth="1"/>
    <col min="2863" max="2863" width="11.296875" customWidth="1"/>
    <col min="2864" max="2864" width="9.7968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796875" customWidth="1"/>
    <col min="2876" max="2876" width="9.59765625" bestFit="1" customWidth="1"/>
    <col min="2877" max="2877" width="9.296875" customWidth="1"/>
    <col min="2879" max="2879" width="7.19921875" customWidth="1"/>
    <col min="2880" max="2880" width="0" hidden="1" customWidth="1"/>
    <col min="2882" max="2882" width="9.296875" customWidth="1"/>
    <col min="2883" max="2883" width="10.296875" customWidth="1"/>
    <col min="2884" max="2884" width="15.796875" customWidth="1"/>
    <col min="2886" max="2886" width="6.69921875" customWidth="1"/>
    <col min="3073" max="3073" width="0.296875" customWidth="1"/>
    <col min="3074" max="3074" width="17.19921875" customWidth="1"/>
    <col min="3075" max="3075" width="13.296875" customWidth="1"/>
    <col min="3076" max="3076" width="9.59765625" customWidth="1"/>
    <col min="3077" max="3077" width="13.2968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796875" customWidth="1"/>
    <col min="3087" max="3087" width="11.296875" customWidth="1"/>
    <col min="3088" max="3088" width="11.69921875" customWidth="1"/>
    <col min="3089" max="3089" width="10.796875" customWidth="1"/>
    <col min="3090" max="3090" width="16" customWidth="1"/>
    <col min="3091" max="3091" width="14.09765625" customWidth="1"/>
    <col min="3092" max="3092" width="11.69921875" customWidth="1"/>
    <col min="3093" max="3093" width="13.2968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296875" customWidth="1"/>
    <col min="3103" max="3104" width="13.19921875" customWidth="1"/>
    <col min="3105" max="3105" width="8.19921875" bestFit="1" customWidth="1"/>
    <col min="3106" max="3106" width="10" customWidth="1"/>
    <col min="3108" max="3108" width="9.69921875" customWidth="1"/>
    <col min="3109" max="3109" width="9.296875" customWidth="1"/>
    <col min="3110" max="3110" width="10.5" bestFit="1" customWidth="1"/>
    <col min="3117" max="3117" width="9.59765625" customWidth="1"/>
    <col min="3118" max="3118" width="14.69921875" customWidth="1"/>
    <col min="3119" max="3119" width="11.296875" customWidth="1"/>
    <col min="3120" max="3120" width="9.7968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796875" customWidth="1"/>
    <col min="3132" max="3132" width="9.59765625" bestFit="1" customWidth="1"/>
    <col min="3133" max="3133" width="9.296875" customWidth="1"/>
    <col min="3135" max="3135" width="7.19921875" customWidth="1"/>
    <col min="3136" max="3136" width="0" hidden="1" customWidth="1"/>
    <col min="3138" max="3138" width="9.296875" customWidth="1"/>
    <col min="3139" max="3139" width="10.296875" customWidth="1"/>
    <col min="3140" max="3140" width="15.796875" customWidth="1"/>
    <col min="3142" max="3142" width="6.69921875" customWidth="1"/>
    <col min="3329" max="3329" width="0.296875" customWidth="1"/>
    <col min="3330" max="3330" width="17.19921875" customWidth="1"/>
    <col min="3331" max="3331" width="13.296875" customWidth="1"/>
    <col min="3332" max="3332" width="9.59765625" customWidth="1"/>
    <col min="3333" max="3333" width="13.2968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796875" customWidth="1"/>
    <col min="3343" max="3343" width="11.296875" customWidth="1"/>
    <col min="3344" max="3344" width="11.69921875" customWidth="1"/>
    <col min="3345" max="3345" width="10.796875" customWidth="1"/>
    <col min="3346" max="3346" width="16" customWidth="1"/>
    <col min="3347" max="3347" width="14.09765625" customWidth="1"/>
    <col min="3348" max="3348" width="11.69921875" customWidth="1"/>
    <col min="3349" max="3349" width="13.2968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296875" customWidth="1"/>
    <col min="3359" max="3360" width="13.19921875" customWidth="1"/>
    <col min="3361" max="3361" width="8.19921875" bestFit="1" customWidth="1"/>
    <col min="3362" max="3362" width="10" customWidth="1"/>
    <col min="3364" max="3364" width="9.69921875" customWidth="1"/>
    <col min="3365" max="3365" width="9.296875" customWidth="1"/>
    <col min="3366" max="3366" width="10.5" bestFit="1" customWidth="1"/>
    <col min="3373" max="3373" width="9.59765625" customWidth="1"/>
    <col min="3374" max="3374" width="14.69921875" customWidth="1"/>
    <col min="3375" max="3375" width="11.296875" customWidth="1"/>
    <col min="3376" max="3376" width="9.7968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796875" customWidth="1"/>
    <col min="3388" max="3388" width="9.59765625" bestFit="1" customWidth="1"/>
    <col min="3389" max="3389" width="9.296875" customWidth="1"/>
    <col min="3391" max="3391" width="7.19921875" customWidth="1"/>
    <col min="3392" max="3392" width="0" hidden="1" customWidth="1"/>
    <col min="3394" max="3394" width="9.296875" customWidth="1"/>
    <col min="3395" max="3395" width="10.296875" customWidth="1"/>
    <col min="3396" max="3396" width="15.796875" customWidth="1"/>
    <col min="3398" max="3398" width="6.69921875" customWidth="1"/>
    <col min="3585" max="3585" width="0.296875" customWidth="1"/>
    <col min="3586" max="3586" width="17.19921875" customWidth="1"/>
    <col min="3587" max="3587" width="13.296875" customWidth="1"/>
    <col min="3588" max="3588" width="9.59765625" customWidth="1"/>
    <col min="3589" max="3589" width="13.2968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796875" customWidth="1"/>
    <col min="3599" max="3599" width="11.296875" customWidth="1"/>
    <col min="3600" max="3600" width="11.69921875" customWidth="1"/>
    <col min="3601" max="3601" width="10.796875" customWidth="1"/>
    <col min="3602" max="3602" width="16" customWidth="1"/>
    <col min="3603" max="3603" width="14.09765625" customWidth="1"/>
    <col min="3604" max="3604" width="11.69921875" customWidth="1"/>
    <col min="3605" max="3605" width="13.2968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296875" customWidth="1"/>
    <col min="3615" max="3616" width="13.19921875" customWidth="1"/>
    <col min="3617" max="3617" width="8.19921875" bestFit="1" customWidth="1"/>
    <col min="3618" max="3618" width="10" customWidth="1"/>
    <col min="3620" max="3620" width="9.69921875" customWidth="1"/>
    <col min="3621" max="3621" width="9.296875" customWidth="1"/>
    <col min="3622" max="3622" width="10.5" bestFit="1" customWidth="1"/>
    <col min="3629" max="3629" width="9.59765625" customWidth="1"/>
    <col min="3630" max="3630" width="14.69921875" customWidth="1"/>
    <col min="3631" max="3631" width="11.296875" customWidth="1"/>
    <col min="3632" max="3632" width="9.7968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796875" customWidth="1"/>
    <col min="3644" max="3644" width="9.59765625" bestFit="1" customWidth="1"/>
    <col min="3645" max="3645" width="9.296875" customWidth="1"/>
    <col min="3647" max="3647" width="7.19921875" customWidth="1"/>
    <col min="3648" max="3648" width="0" hidden="1" customWidth="1"/>
    <col min="3650" max="3650" width="9.296875" customWidth="1"/>
    <col min="3651" max="3651" width="10.296875" customWidth="1"/>
    <col min="3652" max="3652" width="15.796875" customWidth="1"/>
    <col min="3654" max="3654" width="6.69921875" customWidth="1"/>
    <col min="3841" max="3841" width="0.296875" customWidth="1"/>
    <col min="3842" max="3842" width="17.19921875" customWidth="1"/>
    <col min="3843" max="3843" width="13.296875" customWidth="1"/>
    <col min="3844" max="3844" width="9.59765625" customWidth="1"/>
    <col min="3845" max="3845" width="13.2968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796875" customWidth="1"/>
    <col min="3855" max="3855" width="11.296875" customWidth="1"/>
    <col min="3856" max="3856" width="11.69921875" customWidth="1"/>
    <col min="3857" max="3857" width="10.796875" customWidth="1"/>
    <col min="3858" max="3858" width="16" customWidth="1"/>
    <col min="3859" max="3859" width="14.09765625" customWidth="1"/>
    <col min="3860" max="3860" width="11.69921875" customWidth="1"/>
    <col min="3861" max="3861" width="13.2968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296875" customWidth="1"/>
    <col min="3871" max="3872" width="13.19921875" customWidth="1"/>
    <col min="3873" max="3873" width="8.19921875" bestFit="1" customWidth="1"/>
    <col min="3874" max="3874" width="10" customWidth="1"/>
    <col min="3876" max="3876" width="9.69921875" customWidth="1"/>
    <col min="3877" max="3877" width="9.296875" customWidth="1"/>
    <col min="3878" max="3878" width="10.5" bestFit="1" customWidth="1"/>
    <col min="3885" max="3885" width="9.59765625" customWidth="1"/>
    <col min="3886" max="3886" width="14.69921875" customWidth="1"/>
    <col min="3887" max="3887" width="11.296875" customWidth="1"/>
    <col min="3888" max="3888" width="9.7968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796875" customWidth="1"/>
    <col min="3900" max="3900" width="9.59765625" bestFit="1" customWidth="1"/>
    <col min="3901" max="3901" width="9.296875" customWidth="1"/>
    <col min="3903" max="3903" width="7.19921875" customWidth="1"/>
    <col min="3904" max="3904" width="0" hidden="1" customWidth="1"/>
    <col min="3906" max="3906" width="9.296875" customWidth="1"/>
    <col min="3907" max="3907" width="10.296875" customWidth="1"/>
    <col min="3908" max="3908" width="15.796875" customWidth="1"/>
    <col min="3910" max="3910" width="6.69921875" customWidth="1"/>
    <col min="4097" max="4097" width="0.296875" customWidth="1"/>
    <col min="4098" max="4098" width="17.19921875" customWidth="1"/>
    <col min="4099" max="4099" width="13.296875" customWidth="1"/>
    <col min="4100" max="4100" width="9.59765625" customWidth="1"/>
    <col min="4101" max="4101" width="13.2968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796875" customWidth="1"/>
    <col min="4111" max="4111" width="11.296875" customWidth="1"/>
    <col min="4112" max="4112" width="11.69921875" customWidth="1"/>
    <col min="4113" max="4113" width="10.796875" customWidth="1"/>
    <col min="4114" max="4114" width="16" customWidth="1"/>
    <col min="4115" max="4115" width="14.09765625" customWidth="1"/>
    <col min="4116" max="4116" width="11.69921875" customWidth="1"/>
    <col min="4117" max="4117" width="13.2968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296875" customWidth="1"/>
    <col min="4127" max="4128" width="13.19921875" customWidth="1"/>
    <col min="4129" max="4129" width="8.19921875" bestFit="1" customWidth="1"/>
    <col min="4130" max="4130" width="10" customWidth="1"/>
    <col min="4132" max="4132" width="9.69921875" customWidth="1"/>
    <col min="4133" max="4133" width="9.296875" customWidth="1"/>
    <col min="4134" max="4134" width="10.5" bestFit="1" customWidth="1"/>
    <col min="4141" max="4141" width="9.59765625" customWidth="1"/>
    <col min="4142" max="4142" width="14.69921875" customWidth="1"/>
    <col min="4143" max="4143" width="11.296875" customWidth="1"/>
    <col min="4144" max="4144" width="9.7968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796875" customWidth="1"/>
    <col min="4156" max="4156" width="9.59765625" bestFit="1" customWidth="1"/>
    <col min="4157" max="4157" width="9.296875" customWidth="1"/>
    <col min="4159" max="4159" width="7.19921875" customWidth="1"/>
    <col min="4160" max="4160" width="0" hidden="1" customWidth="1"/>
    <col min="4162" max="4162" width="9.296875" customWidth="1"/>
    <col min="4163" max="4163" width="10.296875" customWidth="1"/>
    <col min="4164" max="4164" width="15.796875" customWidth="1"/>
    <col min="4166" max="4166" width="6.69921875" customWidth="1"/>
    <col min="4353" max="4353" width="0.296875" customWidth="1"/>
    <col min="4354" max="4354" width="17.19921875" customWidth="1"/>
    <col min="4355" max="4355" width="13.296875" customWidth="1"/>
    <col min="4356" max="4356" width="9.59765625" customWidth="1"/>
    <col min="4357" max="4357" width="13.2968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796875" customWidth="1"/>
    <col min="4367" max="4367" width="11.296875" customWidth="1"/>
    <col min="4368" max="4368" width="11.69921875" customWidth="1"/>
    <col min="4369" max="4369" width="10.796875" customWidth="1"/>
    <col min="4370" max="4370" width="16" customWidth="1"/>
    <col min="4371" max="4371" width="14.09765625" customWidth="1"/>
    <col min="4372" max="4372" width="11.69921875" customWidth="1"/>
    <col min="4373" max="4373" width="13.2968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296875" customWidth="1"/>
    <col min="4383" max="4384" width="13.19921875" customWidth="1"/>
    <col min="4385" max="4385" width="8.19921875" bestFit="1" customWidth="1"/>
    <col min="4386" max="4386" width="10" customWidth="1"/>
    <col min="4388" max="4388" width="9.69921875" customWidth="1"/>
    <col min="4389" max="4389" width="9.296875" customWidth="1"/>
    <col min="4390" max="4390" width="10.5" bestFit="1" customWidth="1"/>
    <col min="4397" max="4397" width="9.59765625" customWidth="1"/>
    <col min="4398" max="4398" width="14.69921875" customWidth="1"/>
    <col min="4399" max="4399" width="11.296875" customWidth="1"/>
    <col min="4400" max="4400" width="9.7968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796875" customWidth="1"/>
    <col min="4412" max="4412" width="9.59765625" bestFit="1" customWidth="1"/>
    <col min="4413" max="4413" width="9.296875" customWidth="1"/>
    <col min="4415" max="4415" width="7.19921875" customWidth="1"/>
    <col min="4416" max="4416" width="0" hidden="1" customWidth="1"/>
    <col min="4418" max="4418" width="9.296875" customWidth="1"/>
    <col min="4419" max="4419" width="10.296875" customWidth="1"/>
    <col min="4420" max="4420" width="15.796875" customWidth="1"/>
    <col min="4422" max="4422" width="6.69921875" customWidth="1"/>
    <col min="4609" max="4609" width="0.296875" customWidth="1"/>
    <col min="4610" max="4610" width="17.19921875" customWidth="1"/>
    <col min="4611" max="4611" width="13.296875" customWidth="1"/>
    <col min="4612" max="4612" width="9.59765625" customWidth="1"/>
    <col min="4613" max="4613" width="13.2968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796875" customWidth="1"/>
    <col min="4623" max="4623" width="11.296875" customWidth="1"/>
    <col min="4624" max="4624" width="11.69921875" customWidth="1"/>
    <col min="4625" max="4625" width="10.796875" customWidth="1"/>
    <col min="4626" max="4626" width="16" customWidth="1"/>
    <col min="4627" max="4627" width="14.09765625" customWidth="1"/>
    <col min="4628" max="4628" width="11.69921875" customWidth="1"/>
    <col min="4629" max="4629" width="13.2968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296875" customWidth="1"/>
    <col min="4639" max="4640" width="13.19921875" customWidth="1"/>
    <col min="4641" max="4641" width="8.19921875" bestFit="1" customWidth="1"/>
    <col min="4642" max="4642" width="10" customWidth="1"/>
    <col min="4644" max="4644" width="9.69921875" customWidth="1"/>
    <col min="4645" max="4645" width="9.296875" customWidth="1"/>
    <col min="4646" max="4646" width="10.5" bestFit="1" customWidth="1"/>
    <col min="4653" max="4653" width="9.59765625" customWidth="1"/>
    <col min="4654" max="4654" width="14.69921875" customWidth="1"/>
    <col min="4655" max="4655" width="11.296875" customWidth="1"/>
    <col min="4656" max="4656" width="9.7968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796875" customWidth="1"/>
    <col min="4668" max="4668" width="9.59765625" bestFit="1" customWidth="1"/>
    <col min="4669" max="4669" width="9.296875" customWidth="1"/>
    <col min="4671" max="4671" width="7.19921875" customWidth="1"/>
    <col min="4672" max="4672" width="0" hidden="1" customWidth="1"/>
    <col min="4674" max="4674" width="9.296875" customWidth="1"/>
    <col min="4675" max="4675" width="10.296875" customWidth="1"/>
    <col min="4676" max="4676" width="15.796875" customWidth="1"/>
    <col min="4678" max="4678" width="6.69921875" customWidth="1"/>
    <col min="4865" max="4865" width="0.296875" customWidth="1"/>
    <col min="4866" max="4866" width="17.19921875" customWidth="1"/>
    <col min="4867" max="4867" width="13.296875" customWidth="1"/>
    <col min="4868" max="4868" width="9.59765625" customWidth="1"/>
    <col min="4869" max="4869" width="13.2968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796875" customWidth="1"/>
    <col min="4879" max="4879" width="11.296875" customWidth="1"/>
    <col min="4880" max="4880" width="11.69921875" customWidth="1"/>
    <col min="4881" max="4881" width="10.796875" customWidth="1"/>
    <col min="4882" max="4882" width="16" customWidth="1"/>
    <col min="4883" max="4883" width="14.09765625" customWidth="1"/>
    <col min="4884" max="4884" width="11.69921875" customWidth="1"/>
    <col min="4885" max="4885" width="13.2968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296875" customWidth="1"/>
    <col min="4895" max="4896" width="13.19921875" customWidth="1"/>
    <col min="4897" max="4897" width="8.19921875" bestFit="1" customWidth="1"/>
    <col min="4898" max="4898" width="10" customWidth="1"/>
    <col min="4900" max="4900" width="9.69921875" customWidth="1"/>
    <col min="4901" max="4901" width="9.296875" customWidth="1"/>
    <col min="4902" max="4902" width="10.5" bestFit="1" customWidth="1"/>
    <col min="4909" max="4909" width="9.59765625" customWidth="1"/>
    <col min="4910" max="4910" width="14.69921875" customWidth="1"/>
    <col min="4911" max="4911" width="11.296875" customWidth="1"/>
    <col min="4912" max="4912" width="9.7968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796875" customWidth="1"/>
    <col min="4924" max="4924" width="9.59765625" bestFit="1" customWidth="1"/>
    <col min="4925" max="4925" width="9.296875" customWidth="1"/>
    <col min="4927" max="4927" width="7.19921875" customWidth="1"/>
    <col min="4928" max="4928" width="0" hidden="1" customWidth="1"/>
    <col min="4930" max="4930" width="9.296875" customWidth="1"/>
    <col min="4931" max="4931" width="10.296875" customWidth="1"/>
    <col min="4932" max="4932" width="15.796875" customWidth="1"/>
    <col min="4934" max="4934" width="6.69921875" customWidth="1"/>
    <col min="5121" max="5121" width="0.296875" customWidth="1"/>
    <col min="5122" max="5122" width="17.19921875" customWidth="1"/>
    <col min="5123" max="5123" width="13.296875" customWidth="1"/>
    <col min="5124" max="5124" width="9.59765625" customWidth="1"/>
    <col min="5125" max="5125" width="13.2968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796875" customWidth="1"/>
    <col min="5135" max="5135" width="11.296875" customWidth="1"/>
    <col min="5136" max="5136" width="11.69921875" customWidth="1"/>
    <col min="5137" max="5137" width="10.796875" customWidth="1"/>
    <col min="5138" max="5138" width="16" customWidth="1"/>
    <col min="5139" max="5139" width="14.09765625" customWidth="1"/>
    <col min="5140" max="5140" width="11.69921875" customWidth="1"/>
    <col min="5141" max="5141" width="13.2968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296875" customWidth="1"/>
    <col min="5151" max="5152" width="13.19921875" customWidth="1"/>
    <col min="5153" max="5153" width="8.19921875" bestFit="1" customWidth="1"/>
    <col min="5154" max="5154" width="10" customWidth="1"/>
    <col min="5156" max="5156" width="9.69921875" customWidth="1"/>
    <col min="5157" max="5157" width="9.296875" customWidth="1"/>
    <col min="5158" max="5158" width="10.5" bestFit="1" customWidth="1"/>
    <col min="5165" max="5165" width="9.59765625" customWidth="1"/>
    <col min="5166" max="5166" width="14.69921875" customWidth="1"/>
    <col min="5167" max="5167" width="11.296875" customWidth="1"/>
    <col min="5168" max="5168" width="9.7968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796875" customWidth="1"/>
    <col min="5180" max="5180" width="9.59765625" bestFit="1" customWidth="1"/>
    <col min="5181" max="5181" width="9.296875" customWidth="1"/>
    <col min="5183" max="5183" width="7.19921875" customWidth="1"/>
    <col min="5184" max="5184" width="0" hidden="1" customWidth="1"/>
    <col min="5186" max="5186" width="9.296875" customWidth="1"/>
    <col min="5187" max="5187" width="10.296875" customWidth="1"/>
    <col min="5188" max="5188" width="15.796875" customWidth="1"/>
    <col min="5190" max="5190" width="6.69921875" customWidth="1"/>
    <col min="5377" max="5377" width="0.296875" customWidth="1"/>
    <col min="5378" max="5378" width="17.19921875" customWidth="1"/>
    <col min="5379" max="5379" width="13.296875" customWidth="1"/>
    <col min="5380" max="5380" width="9.59765625" customWidth="1"/>
    <col min="5381" max="5381" width="13.2968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796875" customWidth="1"/>
    <col min="5391" max="5391" width="11.296875" customWidth="1"/>
    <col min="5392" max="5392" width="11.69921875" customWidth="1"/>
    <col min="5393" max="5393" width="10.796875" customWidth="1"/>
    <col min="5394" max="5394" width="16" customWidth="1"/>
    <col min="5395" max="5395" width="14.09765625" customWidth="1"/>
    <col min="5396" max="5396" width="11.69921875" customWidth="1"/>
    <col min="5397" max="5397" width="13.2968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296875" customWidth="1"/>
    <col min="5407" max="5408" width="13.19921875" customWidth="1"/>
    <col min="5409" max="5409" width="8.19921875" bestFit="1" customWidth="1"/>
    <col min="5410" max="5410" width="10" customWidth="1"/>
    <col min="5412" max="5412" width="9.69921875" customWidth="1"/>
    <col min="5413" max="5413" width="9.296875" customWidth="1"/>
    <col min="5414" max="5414" width="10.5" bestFit="1" customWidth="1"/>
    <col min="5421" max="5421" width="9.59765625" customWidth="1"/>
    <col min="5422" max="5422" width="14.69921875" customWidth="1"/>
    <col min="5423" max="5423" width="11.296875" customWidth="1"/>
    <col min="5424" max="5424" width="9.7968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796875" customWidth="1"/>
    <col min="5436" max="5436" width="9.59765625" bestFit="1" customWidth="1"/>
    <col min="5437" max="5437" width="9.296875" customWidth="1"/>
    <col min="5439" max="5439" width="7.19921875" customWidth="1"/>
    <col min="5440" max="5440" width="0" hidden="1" customWidth="1"/>
    <col min="5442" max="5442" width="9.296875" customWidth="1"/>
    <col min="5443" max="5443" width="10.296875" customWidth="1"/>
    <col min="5444" max="5444" width="15.796875" customWidth="1"/>
    <col min="5446" max="5446" width="6.69921875" customWidth="1"/>
    <col min="5633" max="5633" width="0.296875" customWidth="1"/>
    <col min="5634" max="5634" width="17.19921875" customWidth="1"/>
    <col min="5635" max="5635" width="13.296875" customWidth="1"/>
    <col min="5636" max="5636" width="9.59765625" customWidth="1"/>
    <col min="5637" max="5637" width="13.2968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796875" customWidth="1"/>
    <col min="5647" max="5647" width="11.296875" customWidth="1"/>
    <col min="5648" max="5648" width="11.69921875" customWidth="1"/>
    <col min="5649" max="5649" width="10.796875" customWidth="1"/>
    <col min="5650" max="5650" width="16" customWidth="1"/>
    <col min="5651" max="5651" width="14.09765625" customWidth="1"/>
    <col min="5652" max="5652" width="11.69921875" customWidth="1"/>
    <col min="5653" max="5653" width="13.2968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296875" customWidth="1"/>
    <col min="5663" max="5664" width="13.19921875" customWidth="1"/>
    <col min="5665" max="5665" width="8.19921875" bestFit="1" customWidth="1"/>
    <col min="5666" max="5666" width="10" customWidth="1"/>
    <col min="5668" max="5668" width="9.69921875" customWidth="1"/>
    <col min="5669" max="5669" width="9.296875" customWidth="1"/>
    <col min="5670" max="5670" width="10.5" bestFit="1" customWidth="1"/>
    <col min="5677" max="5677" width="9.59765625" customWidth="1"/>
    <col min="5678" max="5678" width="14.69921875" customWidth="1"/>
    <col min="5679" max="5679" width="11.296875" customWidth="1"/>
    <col min="5680" max="5680" width="9.7968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796875" customWidth="1"/>
    <col min="5692" max="5692" width="9.59765625" bestFit="1" customWidth="1"/>
    <col min="5693" max="5693" width="9.296875" customWidth="1"/>
    <col min="5695" max="5695" width="7.19921875" customWidth="1"/>
    <col min="5696" max="5696" width="0" hidden="1" customWidth="1"/>
    <col min="5698" max="5698" width="9.296875" customWidth="1"/>
    <col min="5699" max="5699" width="10.296875" customWidth="1"/>
    <col min="5700" max="5700" width="15.796875" customWidth="1"/>
    <col min="5702" max="5702" width="6.69921875" customWidth="1"/>
    <col min="5889" max="5889" width="0.296875" customWidth="1"/>
    <col min="5890" max="5890" width="17.19921875" customWidth="1"/>
    <col min="5891" max="5891" width="13.296875" customWidth="1"/>
    <col min="5892" max="5892" width="9.59765625" customWidth="1"/>
    <col min="5893" max="5893" width="13.2968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796875" customWidth="1"/>
    <col min="5903" max="5903" width="11.296875" customWidth="1"/>
    <col min="5904" max="5904" width="11.69921875" customWidth="1"/>
    <col min="5905" max="5905" width="10.796875" customWidth="1"/>
    <col min="5906" max="5906" width="16" customWidth="1"/>
    <col min="5907" max="5907" width="14.09765625" customWidth="1"/>
    <col min="5908" max="5908" width="11.69921875" customWidth="1"/>
    <col min="5909" max="5909" width="13.2968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296875" customWidth="1"/>
    <col min="5919" max="5920" width="13.19921875" customWidth="1"/>
    <col min="5921" max="5921" width="8.19921875" bestFit="1" customWidth="1"/>
    <col min="5922" max="5922" width="10" customWidth="1"/>
    <col min="5924" max="5924" width="9.69921875" customWidth="1"/>
    <col min="5925" max="5925" width="9.296875" customWidth="1"/>
    <col min="5926" max="5926" width="10.5" bestFit="1" customWidth="1"/>
    <col min="5933" max="5933" width="9.59765625" customWidth="1"/>
    <col min="5934" max="5934" width="14.69921875" customWidth="1"/>
    <col min="5935" max="5935" width="11.296875" customWidth="1"/>
    <col min="5936" max="5936" width="9.7968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796875" customWidth="1"/>
    <col min="5948" max="5948" width="9.59765625" bestFit="1" customWidth="1"/>
    <col min="5949" max="5949" width="9.296875" customWidth="1"/>
    <col min="5951" max="5951" width="7.19921875" customWidth="1"/>
    <col min="5952" max="5952" width="0" hidden="1" customWidth="1"/>
    <col min="5954" max="5954" width="9.296875" customWidth="1"/>
    <col min="5955" max="5955" width="10.296875" customWidth="1"/>
    <col min="5956" max="5956" width="15.796875" customWidth="1"/>
    <col min="5958" max="5958" width="6.69921875" customWidth="1"/>
    <col min="6145" max="6145" width="0.296875" customWidth="1"/>
    <col min="6146" max="6146" width="17.19921875" customWidth="1"/>
    <col min="6147" max="6147" width="13.296875" customWidth="1"/>
    <col min="6148" max="6148" width="9.59765625" customWidth="1"/>
    <col min="6149" max="6149" width="13.2968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796875" customWidth="1"/>
    <col min="6159" max="6159" width="11.296875" customWidth="1"/>
    <col min="6160" max="6160" width="11.69921875" customWidth="1"/>
    <col min="6161" max="6161" width="10.796875" customWidth="1"/>
    <col min="6162" max="6162" width="16" customWidth="1"/>
    <col min="6163" max="6163" width="14.09765625" customWidth="1"/>
    <col min="6164" max="6164" width="11.69921875" customWidth="1"/>
    <col min="6165" max="6165" width="13.2968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296875" customWidth="1"/>
    <col min="6175" max="6176" width="13.19921875" customWidth="1"/>
    <col min="6177" max="6177" width="8.19921875" bestFit="1" customWidth="1"/>
    <col min="6178" max="6178" width="10" customWidth="1"/>
    <col min="6180" max="6180" width="9.69921875" customWidth="1"/>
    <col min="6181" max="6181" width="9.296875" customWidth="1"/>
    <col min="6182" max="6182" width="10.5" bestFit="1" customWidth="1"/>
    <col min="6189" max="6189" width="9.59765625" customWidth="1"/>
    <col min="6190" max="6190" width="14.69921875" customWidth="1"/>
    <col min="6191" max="6191" width="11.296875" customWidth="1"/>
    <col min="6192" max="6192" width="9.7968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796875" customWidth="1"/>
    <col min="6204" max="6204" width="9.59765625" bestFit="1" customWidth="1"/>
    <col min="6205" max="6205" width="9.296875" customWidth="1"/>
    <col min="6207" max="6207" width="7.19921875" customWidth="1"/>
    <col min="6208" max="6208" width="0" hidden="1" customWidth="1"/>
    <col min="6210" max="6210" width="9.296875" customWidth="1"/>
    <col min="6211" max="6211" width="10.296875" customWidth="1"/>
    <col min="6212" max="6212" width="15.796875" customWidth="1"/>
    <col min="6214" max="6214" width="6.69921875" customWidth="1"/>
    <col min="6401" max="6401" width="0.296875" customWidth="1"/>
    <col min="6402" max="6402" width="17.19921875" customWidth="1"/>
    <col min="6403" max="6403" width="13.296875" customWidth="1"/>
    <col min="6404" max="6404" width="9.59765625" customWidth="1"/>
    <col min="6405" max="6405" width="13.2968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796875" customWidth="1"/>
    <col min="6415" max="6415" width="11.296875" customWidth="1"/>
    <col min="6416" max="6416" width="11.69921875" customWidth="1"/>
    <col min="6417" max="6417" width="10.796875" customWidth="1"/>
    <col min="6418" max="6418" width="16" customWidth="1"/>
    <col min="6419" max="6419" width="14.09765625" customWidth="1"/>
    <col min="6420" max="6420" width="11.69921875" customWidth="1"/>
    <col min="6421" max="6421" width="13.2968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296875" customWidth="1"/>
    <col min="6431" max="6432" width="13.19921875" customWidth="1"/>
    <col min="6433" max="6433" width="8.19921875" bestFit="1" customWidth="1"/>
    <col min="6434" max="6434" width="10" customWidth="1"/>
    <col min="6436" max="6436" width="9.69921875" customWidth="1"/>
    <col min="6437" max="6437" width="9.296875" customWidth="1"/>
    <col min="6438" max="6438" width="10.5" bestFit="1" customWidth="1"/>
    <col min="6445" max="6445" width="9.59765625" customWidth="1"/>
    <col min="6446" max="6446" width="14.69921875" customWidth="1"/>
    <col min="6447" max="6447" width="11.296875" customWidth="1"/>
    <col min="6448" max="6448" width="9.7968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796875" customWidth="1"/>
    <col min="6460" max="6460" width="9.59765625" bestFit="1" customWidth="1"/>
    <col min="6461" max="6461" width="9.296875" customWidth="1"/>
    <col min="6463" max="6463" width="7.19921875" customWidth="1"/>
    <col min="6464" max="6464" width="0" hidden="1" customWidth="1"/>
    <col min="6466" max="6466" width="9.296875" customWidth="1"/>
    <col min="6467" max="6467" width="10.296875" customWidth="1"/>
    <col min="6468" max="6468" width="15.796875" customWidth="1"/>
    <col min="6470" max="6470" width="6.69921875" customWidth="1"/>
    <col min="6657" max="6657" width="0.296875" customWidth="1"/>
    <col min="6658" max="6658" width="17.19921875" customWidth="1"/>
    <col min="6659" max="6659" width="13.296875" customWidth="1"/>
    <col min="6660" max="6660" width="9.59765625" customWidth="1"/>
    <col min="6661" max="6661" width="13.2968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796875" customWidth="1"/>
    <col min="6671" max="6671" width="11.296875" customWidth="1"/>
    <col min="6672" max="6672" width="11.69921875" customWidth="1"/>
    <col min="6673" max="6673" width="10.796875" customWidth="1"/>
    <col min="6674" max="6674" width="16" customWidth="1"/>
    <col min="6675" max="6675" width="14.09765625" customWidth="1"/>
    <col min="6676" max="6676" width="11.69921875" customWidth="1"/>
    <col min="6677" max="6677" width="13.2968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296875" customWidth="1"/>
    <col min="6687" max="6688" width="13.19921875" customWidth="1"/>
    <col min="6689" max="6689" width="8.19921875" bestFit="1" customWidth="1"/>
    <col min="6690" max="6690" width="10" customWidth="1"/>
    <col min="6692" max="6692" width="9.69921875" customWidth="1"/>
    <col min="6693" max="6693" width="9.296875" customWidth="1"/>
    <col min="6694" max="6694" width="10.5" bestFit="1" customWidth="1"/>
    <col min="6701" max="6701" width="9.59765625" customWidth="1"/>
    <col min="6702" max="6702" width="14.69921875" customWidth="1"/>
    <col min="6703" max="6703" width="11.296875" customWidth="1"/>
    <col min="6704" max="6704" width="9.7968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796875" customWidth="1"/>
    <col min="6716" max="6716" width="9.59765625" bestFit="1" customWidth="1"/>
    <col min="6717" max="6717" width="9.296875" customWidth="1"/>
    <col min="6719" max="6719" width="7.19921875" customWidth="1"/>
    <col min="6720" max="6720" width="0" hidden="1" customWidth="1"/>
    <col min="6722" max="6722" width="9.296875" customWidth="1"/>
    <col min="6723" max="6723" width="10.296875" customWidth="1"/>
    <col min="6724" max="6724" width="15.796875" customWidth="1"/>
    <col min="6726" max="6726" width="6.69921875" customWidth="1"/>
    <col min="6913" max="6913" width="0.296875" customWidth="1"/>
    <col min="6914" max="6914" width="17.19921875" customWidth="1"/>
    <col min="6915" max="6915" width="13.296875" customWidth="1"/>
    <col min="6916" max="6916" width="9.59765625" customWidth="1"/>
    <col min="6917" max="6917" width="13.2968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796875" customWidth="1"/>
    <col min="6927" max="6927" width="11.296875" customWidth="1"/>
    <col min="6928" max="6928" width="11.69921875" customWidth="1"/>
    <col min="6929" max="6929" width="10.796875" customWidth="1"/>
    <col min="6930" max="6930" width="16" customWidth="1"/>
    <col min="6931" max="6931" width="14.09765625" customWidth="1"/>
    <col min="6932" max="6932" width="11.69921875" customWidth="1"/>
    <col min="6933" max="6933" width="13.2968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296875" customWidth="1"/>
    <col min="6943" max="6944" width="13.19921875" customWidth="1"/>
    <col min="6945" max="6945" width="8.19921875" bestFit="1" customWidth="1"/>
    <col min="6946" max="6946" width="10" customWidth="1"/>
    <col min="6948" max="6948" width="9.69921875" customWidth="1"/>
    <col min="6949" max="6949" width="9.296875" customWidth="1"/>
    <col min="6950" max="6950" width="10.5" bestFit="1" customWidth="1"/>
    <col min="6957" max="6957" width="9.59765625" customWidth="1"/>
    <col min="6958" max="6958" width="14.69921875" customWidth="1"/>
    <col min="6959" max="6959" width="11.296875" customWidth="1"/>
    <col min="6960" max="6960" width="9.7968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796875" customWidth="1"/>
    <col min="6972" max="6972" width="9.59765625" bestFit="1" customWidth="1"/>
    <col min="6973" max="6973" width="9.296875" customWidth="1"/>
    <col min="6975" max="6975" width="7.19921875" customWidth="1"/>
    <col min="6976" max="6976" width="0" hidden="1" customWidth="1"/>
    <col min="6978" max="6978" width="9.296875" customWidth="1"/>
    <col min="6979" max="6979" width="10.296875" customWidth="1"/>
    <col min="6980" max="6980" width="15.796875" customWidth="1"/>
    <col min="6982" max="6982" width="6.69921875" customWidth="1"/>
    <col min="7169" max="7169" width="0.296875" customWidth="1"/>
    <col min="7170" max="7170" width="17.19921875" customWidth="1"/>
    <col min="7171" max="7171" width="13.296875" customWidth="1"/>
    <col min="7172" max="7172" width="9.59765625" customWidth="1"/>
    <col min="7173" max="7173" width="13.2968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796875" customWidth="1"/>
    <col min="7183" max="7183" width="11.296875" customWidth="1"/>
    <col min="7184" max="7184" width="11.69921875" customWidth="1"/>
    <col min="7185" max="7185" width="10.796875" customWidth="1"/>
    <col min="7186" max="7186" width="16" customWidth="1"/>
    <col min="7187" max="7187" width="14.09765625" customWidth="1"/>
    <col min="7188" max="7188" width="11.69921875" customWidth="1"/>
    <col min="7189" max="7189" width="13.2968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296875" customWidth="1"/>
    <col min="7199" max="7200" width="13.19921875" customWidth="1"/>
    <col min="7201" max="7201" width="8.19921875" bestFit="1" customWidth="1"/>
    <col min="7202" max="7202" width="10" customWidth="1"/>
    <col min="7204" max="7204" width="9.69921875" customWidth="1"/>
    <col min="7205" max="7205" width="9.296875" customWidth="1"/>
    <col min="7206" max="7206" width="10.5" bestFit="1" customWidth="1"/>
    <col min="7213" max="7213" width="9.59765625" customWidth="1"/>
    <col min="7214" max="7214" width="14.69921875" customWidth="1"/>
    <col min="7215" max="7215" width="11.296875" customWidth="1"/>
    <col min="7216" max="7216" width="9.7968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796875" customWidth="1"/>
    <col min="7228" max="7228" width="9.59765625" bestFit="1" customWidth="1"/>
    <col min="7229" max="7229" width="9.296875" customWidth="1"/>
    <col min="7231" max="7231" width="7.19921875" customWidth="1"/>
    <col min="7232" max="7232" width="0" hidden="1" customWidth="1"/>
    <col min="7234" max="7234" width="9.296875" customWidth="1"/>
    <col min="7235" max="7235" width="10.296875" customWidth="1"/>
    <col min="7236" max="7236" width="15.796875" customWidth="1"/>
    <col min="7238" max="7238" width="6.69921875" customWidth="1"/>
    <col min="7425" max="7425" width="0.296875" customWidth="1"/>
    <col min="7426" max="7426" width="17.19921875" customWidth="1"/>
    <col min="7427" max="7427" width="13.296875" customWidth="1"/>
    <col min="7428" max="7428" width="9.59765625" customWidth="1"/>
    <col min="7429" max="7429" width="13.2968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796875" customWidth="1"/>
    <col min="7439" max="7439" width="11.296875" customWidth="1"/>
    <col min="7440" max="7440" width="11.69921875" customWidth="1"/>
    <col min="7441" max="7441" width="10.796875" customWidth="1"/>
    <col min="7442" max="7442" width="16" customWidth="1"/>
    <col min="7443" max="7443" width="14.09765625" customWidth="1"/>
    <col min="7444" max="7444" width="11.69921875" customWidth="1"/>
    <col min="7445" max="7445" width="13.2968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296875" customWidth="1"/>
    <col min="7455" max="7456" width="13.19921875" customWidth="1"/>
    <col min="7457" max="7457" width="8.19921875" bestFit="1" customWidth="1"/>
    <col min="7458" max="7458" width="10" customWidth="1"/>
    <col min="7460" max="7460" width="9.69921875" customWidth="1"/>
    <col min="7461" max="7461" width="9.296875" customWidth="1"/>
    <col min="7462" max="7462" width="10.5" bestFit="1" customWidth="1"/>
    <col min="7469" max="7469" width="9.59765625" customWidth="1"/>
    <col min="7470" max="7470" width="14.69921875" customWidth="1"/>
    <col min="7471" max="7471" width="11.296875" customWidth="1"/>
    <col min="7472" max="7472" width="9.7968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796875" customWidth="1"/>
    <col min="7484" max="7484" width="9.59765625" bestFit="1" customWidth="1"/>
    <col min="7485" max="7485" width="9.296875" customWidth="1"/>
    <col min="7487" max="7487" width="7.19921875" customWidth="1"/>
    <col min="7488" max="7488" width="0" hidden="1" customWidth="1"/>
    <col min="7490" max="7490" width="9.296875" customWidth="1"/>
    <col min="7491" max="7491" width="10.296875" customWidth="1"/>
    <col min="7492" max="7492" width="15.796875" customWidth="1"/>
    <col min="7494" max="7494" width="6.69921875" customWidth="1"/>
    <col min="7681" max="7681" width="0.296875" customWidth="1"/>
    <col min="7682" max="7682" width="17.19921875" customWidth="1"/>
    <col min="7683" max="7683" width="13.296875" customWidth="1"/>
    <col min="7684" max="7684" width="9.59765625" customWidth="1"/>
    <col min="7685" max="7685" width="13.2968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796875" customWidth="1"/>
    <col min="7695" max="7695" width="11.296875" customWidth="1"/>
    <col min="7696" max="7696" width="11.69921875" customWidth="1"/>
    <col min="7697" max="7697" width="10.796875" customWidth="1"/>
    <col min="7698" max="7698" width="16" customWidth="1"/>
    <col min="7699" max="7699" width="14.09765625" customWidth="1"/>
    <col min="7700" max="7700" width="11.69921875" customWidth="1"/>
    <col min="7701" max="7701" width="13.2968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296875" customWidth="1"/>
    <col min="7711" max="7712" width="13.19921875" customWidth="1"/>
    <col min="7713" max="7713" width="8.19921875" bestFit="1" customWidth="1"/>
    <col min="7714" max="7714" width="10" customWidth="1"/>
    <col min="7716" max="7716" width="9.69921875" customWidth="1"/>
    <col min="7717" max="7717" width="9.296875" customWidth="1"/>
    <col min="7718" max="7718" width="10.5" bestFit="1" customWidth="1"/>
    <col min="7725" max="7725" width="9.59765625" customWidth="1"/>
    <col min="7726" max="7726" width="14.69921875" customWidth="1"/>
    <col min="7727" max="7727" width="11.296875" customWidth="1"/>
    <col min="7728" max="7728" width="9.7968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796875" customWidth="1"/>
    <col min="7740" max="7740" width="9.59765625" bestFit="1" customWidth="1"/>
    <col min="7741" max="7741" width="9.296875" customWidth="1"/>
    <col min="7743" max="7743" width="7.19921875" customWidth="1"/>
    <col min="7744" max="7744" width="0" hidden="1" customWidth="1"/>
    <col min="7746" max="7746" width="9.296875" customWidth="1"/>
    <col min="7747" max="7747" width="10.296875" customWidth="1"/>
    <col min="7748" max="7748" width="15.796875" customWidth="1"/>
    <col min="7750" max="7750" width="6.69921875" customWidth="1"/>
    <col min="7937" max="7937" width="0.296875" customWidth="1"/>
    <col min="7938" max="7938" width="17.19921875" customWidth="1"/>
    <col min="7939" max="7939" width="13.296875" customWidth="1"/>
    <col min="7940" max="7940" width="9.59765625" customWidth="1"/>
    <col min="7941" max="7941" width="13.2968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796875" customWidth="1"/>
    <col min="7951" max="7951" width="11.296875" customWidth="1"/>
    <col min="7952" max="7952" width="11.69921875" customWidth="1"/>
    <col min="7953" max="7953" width="10.796875" customWidth="1"/>
    <col min="7954" max="7954" width="16" customWidth="1"/>
    <col min="7955" max="7955" width="14.09765625" customWidth="1"/>
    <col min="7956" max="7956" width="11.69921875" customWidth="1"/>
    <col min="7957" max="7957" width="13.2968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296875" customWidth="1"/>
    <col min="7967" max="7968" width="13.19921875" customWidth="1"/>
    <col min="7969" max="7969" width="8.19921875" bestFit="1" customWidth="1"/>
    <col min="7970" max="7970" width="10" customWidth="1"/>
    <col min="7972" max="7972" width="9.69921875" customWidth="1"/>
    <col min="7973" max="7973" width="9.296875" customWidth="1"/>
    <col min="7974" max="7974" width="10.5" bestFit="1" customWidth="1"/>
    <col min="7981" max="7981" width="9.59765625" customWidth="1"/>
    <col min="7982" max="7982" width="14.69921875" customWidth="1"/>
    <col min="7983" max="7983" width="11.296875" customWidth="1"/>
    <col min="7984" max="7984" width="9.7968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796875" customWidth="1"/>
    <col min="7996" max="7996" width="9.59765625" bestFit="1" customWidth="1"/>
    <col min="7997" max="7997" width="9.296875" customWidth="1"/>
    <col min="7999" max="7999" width="7.19921875" customWidth="1"/>
    <col min="8000" max="8000" width="0" hidden="1" customWidth="1"/>
    <col min="8002" max="8002" width="9.296875" customWidth="1"/>
    <col min="8003" max="8003" width="10.296875" customWidth="1"/>
    <col min="8004" max="8004" width="15.796875" customWidth="1"/>
    <col min="8006" max="8006" width="6.69921875" customWidth="1"/>
    <col min="8193" max="8193" width="0.296875" customWidth="1"/>
    <col min="8194" max="8194" width="17.19921875" customWidth="1"/>
    <col min="8195" max="8195" width="13.296875" customWidth="1"/>
    <col min="8196" max="8196" width="9.59765625" customWidth="1"/>
    <col min="8197" max="8197" width="13.2968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796875" customWidth="1"/>
    <col min="8207" max="8207" width="11.296875" customWidth="1"/>
    <col min="8208" max="8208" width="11.69921875" customWidth="1"/>
    <col min="8209" max="8209" width="10.796875" customWidth="1"/>
    <col min="8210" max="8210" width="16" customWidth="1"/>
    <col min="8211" max="8211" width="14.09765625" customWidth="1"/>
    <col min="8212" max="8212" width="11.69921875" customWidth="1"/>
    <col min="8213" max="8213" width="13.2968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296875" customWidth="1"/>
    <col min="8223" max="8224" width="13.19921875" customWidth="1"/>
    <col min="8225" max="8225" width="8.19921875" bestFit="1" customWidth="1"/>
    <col min="8226" max="8226" width="10" customWidth="1"/>
    <col min="8228" max="8228" width="9.69921875" customWidth="1"/>
    <col min="8229" max="8229" width="9.296875" customWidth="1"/>
    <col min="8230" max="8230" width="10.5" bestFit="1" customWidth="1"/>
    <col min="8237" max="8237" width="9.59765625" customWidth="1"/>
    <col min="8238" max="8238" width="14.69921875" customWidth="1"/>
    <col min="8239" max="8239" width="11.296875" customWidth="1"/>
    <col min="8240" max="8240" width="9.7968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796875" customWidth="1"/>
    <col min="8252" max="8252" width="9.59765625" bestFit="1" customWidth="1"/>
    <col min="8253" max="8253" width="9.296875" customWidth="1"/>
    <col min="8255" max="8255" width="7.19921875" customWidth="1"/>
    <col min="8256" max="8256" width="0" hidden="1" customWidth="1"/>
    <col min="8258" max="8258" width="9.296875" customWidth="1"/>
    <col min="8259" max="8259" width="10.296875" customWidth="1"/>
    <col min="8260" max="8260" width="15.796875" customWidth="1"/>
    <col min="8262" max="8262" width="6.69921875" customWidth="1"/>
    <col min="8449" max="8449" width="0.296875" customWidth="1"/>
    <col min="8450" max="8450" width="17.19921875" customWidth="1"/>
    <col min="8451" max="8451" width="13.296875" customWidth="1"/>
    <col min="8452" max="8452" width="9.59765625" customWidth="1"/>
    <col min="8453" max="8453" width="13.2968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796875" customWidth="1"/>
    <col min="8463" max="8463" width="11.296875" customWidth="1"/>
    <col min="8464" max="8464" width="11.69921875" customWidth="1"/>
    <col min="8465" max="8465" width="10.796875" customWidth="1"/>
    <col min="8466" max="8466" width="16" customWidth="1"/>
    <col min="8467" max="8467" width="14.09765625" customWidth="1"/>
    <col min="8468" max="8468" width="11.69921875" customWidth="1"/>
    <col min="8469" max="8469" width="13.2968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296875" customWidth="1"/>
    <col min="8479" max="8480" width="13.19921875" customWidth="1"/>
    <col min="8481" max="8481" width="8.19921875" bestFit="1" customWidth="1"/>
    <col min="8482" max="8482" width="10" customWidth="1"/>
    <col min="8484" max="8484" width="9.69921875" customWidth="1"/>
    <col min="8485" max="8485" width="9.296875" customWidth="1"/>
    <col min="8486" max="8486" width="10.5" bestFit="1" customWidth="1"/>
    <col min="8493" max="8493" width="9.59765625" customWidth="1"/>
    <col min="8494" max="8494" width="14.69921875" customWidth="1"/>
    <col min="8495" max="8495" width="11.296875" customWidth="1"/>
    <col min="8496" max="8496" width="9.7968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796875" customWidth="1"/>
    <col min="8508" max="8508" width="9.59765625" bestFit="1" customWidth="1"/>
    <col min="8509" max="8509" width="9.296875" customWidth="1"/>
    <col min="8511" max="8511" width="7.19921875" customWidth="1"/>
    <col min="8512" max="8512" width="0" hidden="1" customWidth="1"/>
    <col min="8514" max="8514" width="9.296875" customWidth="1"/>
    <col min="8515" max="8515" width="10.296875" customWidth="1"/>
    <col min="8516" max="8516" width="15.796875" customWidth="1"/>
    <col min="8518" max="8518" width="6.69921875" customWidth="1"/>
    <col min="8705" max="8705" width="0.296875" customWidth="1"/>
    <col min="8706" max="8706" width="17.19921875" customWidth="1"/>
    <col min="8707" max="8707" width="13.296875" customWidth="1"/>
    <col min="8708" max="8708" width="9.59765625" customWidth="1"/>
    <col min="8709" max="8709" width="13.2968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796875" customWidth="1"/>
    <col min="8719" max="8719" width="11.296875" customWidth="1"/>
    <col min="8720" max="8720" width="11.69921875" customWidth="1"/>
    <col min="8721" max="8721" width="10.796875" customWidth="1"/>
    <col min="8722" max="8722" width="16" customWidth="1"/>
    <col min="8723" max="8723" width="14.09765625" customWidth="1"/>
    <col min="8724" max="8724" width="11.69921875" customWidth="1"/>
    <col min="8725" max="8725" width="13.2968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296875" customWidth="1"/>
    <col min="8735" max="8736" width="13.19921875" customWidth="1"/>
    <col min="8737" max="8737" width="8.19921875" bestFit="1" customWidth="1"/>
    <col min="8738" max="8738" width="10" customWidth="1"/>
    <col min="8740" max="8740" width="9.69921875" customWidth="1"/>
    <col min="8741" max="8741" width="9.296875" customWidth="1"/>
    <col min="8742" max="8742" width="10.5" bestFit="1" customWidth="1"/>
    <col min="8749" max="8749" width="9.59765625" customWidth="1"/>
    <col min="8750" max="8750" width="14.69921875" customWidth="1"/>
    <col min="8751" max="8751" width="11.296875" customWidth="1"/>
    <col min="8752" max="8752" width="9.7968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796875" customWidth="1"/>
    <col min="8764" max="8764" width="9.59765625" bestFit="1" customWidth="1"/>
    <col min="8765" max="8765" width="9.296875" customWidth="1"/>
    <col min="8767" max="8767" width="7.19921875" customWidth="1"/>
    <col min="8768" max="8768" width="0" hidden="1" customWidth="1"/>
    <col min="8770" max="8770" width="9.296875" customWidth="1"/>
    <col min="8771" max="8771" width="10.296875" customWidth="1"/>
    <col min="8772" max="8772" width="15.796875" customWidth="1"/>
    <col min="8774" max="8774" width="6.69921875" customWidth="1"/>
    <col min="8961" max="8961" width="0.296875" customWidth="1"/>
    <col min="8962" max="8962" width="17.19921875" customWidth="1"/>
    <col min="8963" max="8963" width="13.296875" customWidth="1"/>
    <col min="8964" max="8964" width="9.59765625" customWidth="1"/>
    <col min="8965" max="8965" width="13.2968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796875" customWidth="1"/>
    <col min="8975" max="8975" width="11.296875" customWidth="1"/>
    <col min="8976" max="8976" width="11.69921875" customWidth="1"/>
    <col min="8977" max="8977" width="10.796875" customWidth="1"/>
    <col min="8978" max="8978" width="16" customWidth="1"/>
    <col min="8979" max="8979" width="14.09765625" customWidth="1"/>
    <col min="8980" max="8980" width="11.69921875" customWidth="1"/>
    <col min="8981" max="8981" width="13.2968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296875" customWidth="1"/>
    <col min="8991" max="8992" width="13.19921875" customWidth="1"/>
    <col min="8993" max="8993" width="8.19921875" bestFit="1" customWidth="1"/>
    <col min="8994" max="8994" width="10" customWidth="1"/>
    <col min="8996" max="8996" width="9.69921875" customWidth="1"/>
    <col min="8997" max="8997" width="9.296875" customWidth="1"/>
    <col min="8998" max="8998" width="10.5" bestFit="1" customWidth="1"/>
    <col min="9005" max="9005" width="9.59765625" customWidth="1"/>
    <col min="9006" max="9006" width="14.69921875" customWidth="1"/>
    <col min="9007" max="9007" width="11.296875" customWidth="1"/>
    <col min="9008" max="9008" width="9.7968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796875" customWidth="1"/>
    <col min="9020" max="9020" width="9.59765625" bestFit="1" customWidth="1"/>
    <col min="9021" max="9021" width="9.296875" customWidth="1"/>
    <col min="9023" max="9023" width="7.19921875" customWidth="1"/>
    <col min="9024" max="9024" width="0" hidden="1" customWidth="1"/>
    <col min="9026" max="9026" width="9.296875" customWidth="1"/>
    <col min="9027" max="9027" width="10.296875" customWidth="1"/>
    <col min="9028" max="9028" width="15.796875" customWidth="1"/>
    <col min="9030" max="9030" width="6.69921875" customWidth="1"/>
    <col min="9217" max="9217" width="0.296875" customWidth="1"/>
    <col min="9218" max="9218" width="17.19921875" customWidth="1"/>
    <col min="9219" max="9219" width="13.296875" customWidth="1"/>
    <col min="9220" max="9220" width="9.59765625" customWidth="1"/>
    <col min="9221" max="9221" width="13.2968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796875" customWidth="1"/>
    <col min="9231" max="9231" width="11.296875" customWidth="1"/>
    <col min="9232" max="9232" width="11.69921875" customWidth="1"/>
    <col min="9233" max="9233" width="10.796875" customWidth="1"/>
    <col min="9234" max="9234" width="16" customWidth="1"/>
    <col min="9235" max="9235" width="14.09765625" customWidth="1"/>
    <col min="9236" max="9236" width="11.69921875" customWidth="1"/>
    <col min="9237" max="9237" width="13.2968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296875" customWidth="1"/>
    <col min="9247" max="9248" width="13.19921875" customWidth="1"/>
    <col min="9249" max="9249" width="8.19921875" bestFit="1" customWidth="1"/>
    <col min="9250" max="9250" width="10" customWidth="1"/>
    <col min="9252" max="9252" width="9.69921875" customWidth="1"/>
    <col min="9253" max="9253" width="9.296875" customWidth="1"/>
    <col min="9254" max="9254" width="10.5" bestFit="1" customWidth="1"/>
    <col min="9261" max="9261" width="9.59765625" customWidth="1"/>
    <col min="9262" max="9262" width="14.69921875" customWidth="1"/>
    <col min="9263" max="9263" width="11.296875" customWidth="1"/>
    <col min="9264" max="9264" width="9.7968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796875" customWidth="1"/>
    <col min="9276" max="9276" width="9.59765625" bestFit="1" customWidth="1"/>
    <col min="9277" max="9277" width="9.296875" customWidth="1"/>
    <col min="9279" max="9279" width="7.19921875" customWidth="1"/>
    <col min="9280" max="9280" width="0" hidden="1" customWidth="1"/>
    <col min="9282" max="9282" width="9.296875" customWidth="1"/>
    <col min="9283" max="9283" width="10.296875" customWidth="1"/>
    <col min="9284" max="9284" width="15.796875" customWidth="1"/>
    <col min="9286" max="9286" width="6.69921875" customWidth="1"/>
    <col min="9473" max="9473" width="0.296875" customWidth="1"/>
    <col min="9474" max="9474" width="17.19921875" customWidth="1"/>
    <col min="9475" max="9475" width="13.296875" customWidth="1"/>
    <col min="9476" max="9476" width="9.59765625" customWidth="1"/>
    <col min="9477" max="9477" width="13.2968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796875" customWidth="1"/>
    <col min="9487" max="9487" width="11.296875" customWidth="1"/>
    <col min="9488" max="9488" width="11.69921875" customWidth="1"/>
    <col min="9489" max="9489" width="10.796875" customWidth="1"/>
    <col min="9490" max="9490" width="16" customWidth="1"/>
    <col min="9491" max="9491" width="14.09765625" customWidth="1"/>
    <col min="9492" max="9492" width="11.69921875" customWidth="1"/>
    <col min="9493" max="9493" width="13.2968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296875" customWidth="1"/>
    <col min="9503" max="9504" width="13.19921875" customWidth="1"/>
    <col min="9505" max="9505" width="8.19921875" bestFit="1" customWidth="1"/>
    <col min="9506" max="9506" width="10" customWidth="1"/>
    <col min="9508" max="9508" width="9.69921875" customWidth="1"/>
    <col min="9509" max="9509" width="9.296875" customWidth="1"/>
    <col min="9510" max="9510" width="10.5" bestFit="1" customWidth="1"/>
    <col min="9517" max="9517" width="9.59765625" customWidth="1"/>
    <col min="9518" max="9518" width="14.69921875" customWidth="1"/>
    <col min="9519" max="9519" width="11.296875" customWidth="1"/>
    <col min="9520" max="9520" width="9.7968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796875" customWidth="1"/>
    <col min="9532" max="9532" width="9.59765625" bestFit="1" customWidth="1"/>
    <col min="9533" max="9533" width="9.296875" customWidth="1"/>
    <col min="9535" max="9535" width="7.19921875" customWidth="1"/>
    <col min="9536" max="9536" width="0" hidden="1" customWidth="1"/>
    <col min="9538" max="9538" width="9.296875" customWidth="1"/>
    <col min="9539" max="9539" width="10.296875" customWidth="1"/>
    <col min="9540" max="9540" width="15.796875" customWidth="1"/>
    <col min="9542" max="9542" width="6.69921875" customWidth="1"/>
    <col min="9729" max="9729" width="0.296875" customWidth="1"/>
    <col min="9730" max="9730" width="17.19921875" customWidth="1"/>
    <col min="9731" max="9731" width="13.296875" customWidth="1"/>
    <col min="9732" max="9732" width="9.59765625" customWidth="1"/>
    <col min="9733" max="9733" width="13.2968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796875" customWidth="1"/>
    <col min="9743" max="9743" width="11.296875" customWidth="1"/>
    <col min="9744" max="9744" width="11.69921875" customWidth="1"/>
    <col min="9745" max="9745" width="10.796875" customWidth="1"/>
    <col min="9746" max="9746" width="16" customWidth="1"/>
    <col min="9747" max="9747" width="14.09765625" customWidth="1"/>
    <col min="9748" max="9748" width="11.69921875" customWidth="1"/>
    <col min="9749" max="9749" width="13.2968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296875" customWidth="1"/>
    <col min="9759" max="9760" width="13.19921875" customWidth="1"/>
    <col min="9761" max="9761" width="8.19921875" bestFit="1" customWidth="1"/>
    <col min="9762" max="9762" width="10" customWidth="1"/>
    <col min="9764" max="9764" width="9.69921875" customWidth="1"/>
    <col min="9765" max="9765" width="9.296875" customWidth="1"/>
    <col min="9766" max="9766" width="10.5" bestFit="1" customWidth="1"/>
    <col min="9773" max="9773" width="9.59765625" customWidth="1"/>
    <col min="9774" max="9774" width="14.69921875" customWidth="1"/>
    <col min="9775" max="9775" width="11.296875" customWidth="1"/>
    <col min="9776" max="9776" width="9.7968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796875" customWidth="1"/>
    <col min="9788" max="9788" width="9.59765625" bestFit="1" customWidth="1"/>
    <col min="9789" max="9789" width="9.296875" customWidth="1"/>
    <col min="9791" max="9791" width="7.19921875" customWidth="1"/>
    <col min="9792" max="9792" width="0" hidden="1" customWidth="1"/>
    <col min="9794" max="9794" width="9.296875" customWidth="1"/>
    <col min="9795" max="9795" width="10.296875" customWidth="1"/>
    <col min="9796" max="9796" width="15.796875" customWidth="1"/>
    <col min="9798" max="9798" width="6.69921875" customWidth="1"/>
    <col min="9985" max="9985" width="0.296875" customWidth="1"/>
    <col min="9986" max="9986" width="17.19921875" customWidth="1"/>
    <col min="9987" max="9987" width="13.296875" customWidth="1"/>
    <col min="9988" max="9988" width="9.59765625" customWidth="1"/>
    <col min="9989" max="9989" width="13.2968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796875" customWidth="1"/>
    <col min="9999" max="9999" width="11.296875" customWidth="1"/>
    <col min="10000" max="10000" width="11.69921875" customWidth="1"/>
    <col min="10001" max="10001" width="10.796875" customWidth="1"/>
    <col min="10002" max="10002" width="16" customWidth="1"/>
    <col min="10003" max="10003" width="14.09765625" customWidth="1"/>
    <col min="10004" max="10004" width="11.69921875" customWidth="1"/>
    <col min="10005" max="10005" width="13.2968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296875" customWidth="1"/>
    <col min="10015" max="10016" width="13.19921875" customWidth="1"/>
    <col min="10017" max="10017" width="8.19921875" bestFit="1" customWidth="1"/>
    <col min="10018" max="10018" width="10" customWidth="1"/>
    <col min="10020" max="10020" width="9.69921875" customWidth="1"/>
    <col min="10021" max="10021" width="9.296875" customWidth="1"/>
    <col min="10022" max="10022" width="10.5" bestFit="1" customWidth="1"/>
    <col min="10029" max="10029" width="9.59765625" customWidth="1"/>
    <col min="10030" max="10030" width="14.69921875" customWidth="1"/>
    <col min="10031" max="10031" width="11.296875" customWidth="1"/>
    <col min="10032" max="10032" width="9.7968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796875" customWidth="1"/>
    <col min="10044" max="10044" width="9.59765625" bestFit="1" customWidth="1"/>
    <col min="10045" max="10045" width="9.296875" customWidth="1"/>
    <col min="10047" max="10047" width="7.19921875" customWidth="1"/>
    <col min="10048" max="10048" width="0" hidden="1" customWidth="1"/>
    <col min="10050" max="10050" width="9.296875" customWidth="1"/>
    <col min="10051" max="10051" width="10.296875" customWidth="1"/>
    <col min="10052" max="10052" width="15.796875" customWidth="1"/>
    <col min="10054" max="10054" width="6.69921875" customWidth="1"/>
    <col min="10241" max="10241" width="0.296875" customWidth="1"/>
    <col min="10242" max="10242" width="17.19921875" customWidth="1"/>
    <col min="10243" max="10243" width="13.296875" customWidth="1"/>
    <col min="10244" max="10244" width="9.59765625" customWidth="1"/>
    <col min="10245" max="10245" width="13.2968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796875" customWidth="1"/>
    <col min="10255" max="10255" width="11.296875" customWidth="1"/>
    <col min="10256" max="10256" width="11.69921875" customWidth="1"/>
    <col min="10257" max="10257" width="10.796875" customWidth="1"/>
    <col min="10258" max="10258" width="16" customWidth="1"/>
    <col min="10259" max="10259" width="14.09765625" customWidth="1"/>
    <col min="10260" max="10260" width="11.69921875" customWidth="1"/>
    <col min="10261" max="10261" width="13.2968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296875" customWidth="1"/>
    <col min="10271" max="10272" width="13.19921875" customWidth="1"/>
    <col min="10273" max="10273" width="8.19921875" bestFit="1" customWidth="1"/>
    <col min="10274" max="10274" width="10" customWidth="1"/>
    <col min="10276" max="10276" width="9.69921875" customWidth="1"/>
    <col min="10277" max="10277" width="9.296875" customWidth="1"/>
    <col min="10278" max="10278" width="10.5" bestFit="1" customWidth="1"/>
    <col min="10285" max="10285" width="9.59765625" customWidth="1"/>
    <col min="10286" max="10286" width="14.69921875" customWidth="1"/>
    <col min="10287" max="10287" width="11.296875" customWidth="1"/>
    <col min="10288" max="10288" width="9.7968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796875" customWidth="1"/>
    <col min="10300" max="10300" width="9.59765625" bestFit="1" customWidth="1"/>
    <col min="10301" max="10301" width="9.296875" customWidth="1"/>
    <col min="10303" max="10303" width="7.19921875" customWidth="1"/>
    <col min="10304" max="10304" width="0" hidden="1" customWidth="1"/>
    <col min="10306" max="10306" width="9.296875" customWidth="1"/>
    <col min="10307" max="10307" width="10.296875" customWidth="1"/>
    <col min="10308" max="10308" width="15.796875" customWidth="1"/>
    <col min="10310" max="10310" width="6.69921875" customWidth="1"/>
    <col min="10497" max="10497" width="0.296875" customWidth="1"/>
    <col min="10498" max="10498" width="17.19921875" customWidth="1"/>
    <col min="10499" max="10499" width="13.296875" customWidth="1"/>
    <col min="10500" max="10500" width="9.59765625" customWidth="1"/>
    <col min="10501" max="10501" width="13.2968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796875" customWidth="1"/>
    <col min="10511" max="10511" width="11.296875" customWidth="1"/>
    <col min="10512" max="10512" width="11.69921875" customWidth="1"/>
    <col min="10513" max="10513" width="10.796875" customWidth="1"/>
    <col min="10514" max="10514" width="16" customWidth="1"/>
    <col min="10515" max="10515" width="14.09765625" customWidth="1"/>
    <col min="10516" max="10516" width="11.69921875" customWidth="1"/>
    <col min="10517" max="10517" width="13.2968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296875" customWidth="1"/>
    <col min="10527" max="10528" width="13.19921875" customWidth="1"/>
    <col min="10529" max="10529" width="8.19921875" bestFit="1" customWidth="1"/>
    <col min="10530" max="10530" width="10" customWidth="1"/>
    <col min="10532" max="10532" width="9.69921875" customWidth="1"/>
    <col min="10533" max="10533" width="9.296875" customWidth="1"/>
    <col min="10534" max="10534" width="10.5" bestFit="1" customWidth="1"/>
    <col min="10541" max="10541" width="9.59765625" customWidth="1"/>
    <col min="10542" max="10542" width="14.69921875" customWidth="1"/>
    <col min="10543" max="10543" width="11.296875" customWidth="1"/>
    <col min="10544" max="10544" width="9.7968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796875" customWidth="1"/>
    <col min="10556" max="10556" width="9.59765625" bestFit="1" customWidth="1"/>
    <col min="10557" max="10557" width="9.296875" customWidth="1"/>
    <col min="10559" max="10559" width="7.19921875" customWidth="1"/>
    <col min="10560" max="10560" width="0" hidden="1" customWidth="1"/>
    <col min="10562" max="10562" width="9.296875" customWidth="1"/>
    <col min="10563" max="10563" width="10.296875" customWidth="1"/>
    <col min="10564" max="10564" width="15.796875" customWidth="1"/>
    <col min="10566" max="10566" width="6.69921875" customWidth="1"/>
    <col min="10753" max="10753" width="0.296875" customWidth="1"/>
    <col min="10754" max="10754" width="17.19921875" customWidth="1"/>
    <col min="10755" max="10755" width="13.296875" customWidth="1"/>
    <col min="10756" max="10756" width="9.59765625" customWidth="1"/>
    <col min="10757" max="10757" width="13.2968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796875" customWidth="1"/>
    <col min="10767" max="10767" width="11.296875" customWidth="1"/>
    <col min="10768" max="10768" width="11.69921875" customWidth="1"/>
    <col min="10769" max="10769" width="10.796875" customWidth="1"/>
    <col min="10770" max="10770" width="16" customWidth="1"/>
    <col min="10771" max="10771" width="14.09765625" customWidth="1"/>
    <col min="10772" max="10772" width="11.69921875" customWidth="1"/>
    <col min="10773" max="10773" width="13.2968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296875" customWidth="1"/>
    <col min="10783" max="10784" width="13.19921875" customWidth="1"/>
    <col min="10785" max="10785" width="8.19921875" bestFit="1" customWidth="1"/>
    <col min="10786" max="10786" width="10" customWidth="1"/>
    <col min="10788" max="10788" width="9.69921875" customWidth="1"/>
    <col min="10789" max="10789" width="9.296875" customWidth="1"/>
    <col min="10790" max="10790" width="10.5" bestFit="1" customWidth="1"/>
    <col min="10797" max="10797" width="9.59765625" customWidth="1"/>
    <col min="10798" max="10798" width="14.69921875" customWidth="1"/>
    <col min="10799" max="10799" width="11.296875" customWidth="1"/>
    <col min="10800" max="10800" width="9.7968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796875" customWidth="1"/>
    <col min="10812" max="10812" width="9.59765625" bestFit="1" customWidth="1"/>
    <col min="10813" max="10813" width="9.296875" customWidth="1"/>
    <col min="10815" max="10815" width="7.19921875" customWidth="1"/>
    <col min="10816" max="10816" width="0" hidden="1" customWidth="1"/>
    <col min="10818" max="10818" width="9.296875" customWidth="1"/>
    <col min="10819" max="10819" width="10.296875" customWidth="1"/>
    <col min="10820" max="10820" width="15.796875" customWidth="1"/>
    <col min="10822" max="10822" width="6.69921875" customWidth="1"/>
    <col min="11009" max="11009" width="0.296875" customWidth="1"/>
    <col min="11010" max="11010" width="17.19921875" customWidth="1"/>
    <col min="11011" max="11011" width="13.296875" customWidth="1"/>
    <col min="11012" max="11012" width="9.59765625" customWidth="1"/>
    <col min="11013" max="11013" width="13.2968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796875" customWidth="1"/>
    <col min="11023" max="11023" width="11.296875" customWidth="1"/>
    <col min="11024" max="11024" width="11.69921875" customWidth="1"/>
    <col min="11025" max="11025" width="10.796875" customWidth="1"/>
    <col min="11026" max="11026" width="16" customWidth="1"/>
    <col min="11027" max="11027" width="14.09765625" customWidth="1"/>
    <col min="11028" max="11028" width="11.69921875" customWidth="1"/>
    <col min="11029" max="11029" width="13.2968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296875" customWidth="1"/>
    <col min="11039" max="11040" width="13.19921875" customWidth="1"/>
    <col min="11041" max="11041" width="8.19921875" bestFit="1" customWidth="1"/>
    <col min="11042" max="11042" width="10" customWidth="1"/>
    <col min="11044" max="11044" width="9.69921875" customWidth="1"/>
    <col min="11045" max="11045" width="9.296875" customWidth="1"/>
    <col min="11046" max="11046" width="10.5" bestFit="1" customWidth="1"/>
    <col min="11053" max="11053" width="9.59765625" customWidth="1"/>
    <col min="11054" max="11054" width="14.69921875" customWidth="1"/>
    <col min="11055" max="11055" width="11.296875" customWidth="1"/>
    <col min="11056" max="11056" width="9.7968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796875" customWidth="1"/>
    <col min="11068" max="11068" width="9.59765625" bestFit="1" customWidth="1"/>
    <col min="11069" max="11069" width="9.296875" customWidth="1"/>
    <col min="11071" max="11071" width="7.19921875" customWidth="1"/>
    <col min="11072" max="11072" width="0" hidden="1" customWidth="1"/>
    <col min="11074" max="11074" width="9.296875" customWidth="1"/>
    <col min="11075" max="11075" width="10.296875" customWidth="1"/>
    <col min="11076" max="11076" width="15.796875" customWidth="1"/>
    <col min="11078" max="11078" width="6.69921875" customWidth="1"/>
    <col min="11265" max="11265" width="0.296875" customWidth="1"/>
    <col min="11266" max="11266" width="17.19921875" customWidth="1"/>
    <col min="11267" max="11267" width="13.296875" customWidth="1"/>
    <col min="11268" max="11268" width="9.59765625" customWidth="1"/>
    <col min="11269" max="11269" width="13.2968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796875" customWidth="1"/>
    <col min="11279" max="11279" width="11.296875" customWidth="1"/>
    <col min="11280" max="11280" width="11.69921875" customWidth="1"/>
    <col min="11281" max="11281" width="10.796875" customWidth="1"/>
    <col min="11282" max="11282" width="16" customWidth="1"/>
    <col min="11283" max="11283" width="14.09765625" customWidth="1"/>
    <col min="11284" max="11284" width="11.69921875" customWidth="1"/>
    <col min="11285" max="11285" width="13.2968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296875" customWidth="1"/>
    <col min="11295" max="11296" width="13.19921875" customWidth="1"/>
    <col min="11297" max="11297" width="8.19921875" bestFit="1" customWidth="1"/>
    <col min="11298" max="11298" width="10" customWidth="1"/>
    <col min="11300" max="11300" width="9.69921875" customWidth="1"/>
    <col min="11301" max="11301" width="9.296875" customWidth="1"/>
    <col min="11302" max="11302" width="10.5" bestFit="1" customWidth="1"/>
    <col min="11309" max="11309" width="9.59765625" customWidth="1"/>
    <col min="11310" max="11310" width="14.69921875" customWidth="1"/>
    <col min="11311" max="11311" width="11.296875" customWidth="1"/>
    <col min="11312" max="11312" width="9.7968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796875" customWidth="1"/>
    <col min="11324" max="11324" width="9.59765625" bestFit="1" customWidth="1"/>
    <col min="11325" max="11325" width="9.296875" customWidth="1"/>
    <col min="11327" max="11327" width="7.19921875" customWidth="1"/>
    <col min="11328" max="11328" width="0" hidden="1" customWidth="1"/>
    <col min="11330" max="11330" width="9.296875" customWidth="1"/>
    <col min="11331" max="11331" width="10.296875" customWidth="1"/>
    <col min="11332" max="11332" width="15.796875" customWidth="1"/>
    <col min="11334" max="11334" width="6.69921875" customWidth="1"/>
    <col min="11521" max="11521" width="0.296875" customWidth="1"/>
    <col min="11522" max="11522" width="17.19921875" customWidth="1"/>
    <col min="11523" max="11523" width="13.296875" customWidth="1"/>
    <col min="11524" max="11524" width="9.59765625" customWidth="1"/>
    <col min="11525" max="11525" width="13.2968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796875" customWidth="1"/>
    <col min="11535" max="11535" width="11.296875" customWidth="1"/>
    <col min="11536" max="11536" width="11.69921875" customWidth="1"/>
    <col min="11537" max="11537" width="10.796875" customWidth="1"/>
    <col min="11538" max="11538" width="16" customWidth="1"/>
    <col min="11539" max="11539" width="14.09765625" customWidth="1"/>
    <col min="11540" max="11540" width="11.69921875" customWidth="1"/>
    <col min="11541" max="11541" width="13.2968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296875" customWidth="1"/>
    <col min="11551" max="11552" width="13.19921875" customWidth="1"/>
    <col min="11553" max="11553" width="8.19921875" bestFit="1" customWidth="1"/>
    <col min="11554" max="11554" width="10" customWidth="1"/>
    <col min="11556" max="11556" width="9.69921875" customWidth="1"/>
    <col min="11557" max="11557" width="9.296875" customWidth="1"/>
    <col min="11558" max="11558" width="10.5" bestFit="1" customWidth="1"/>
    <col min="11565" max="11565" width="9.59765625" customWidth="1"/>
    <col min="11566" max="11566" width="14.69921875" customWidth="1"/>
    <col min="11567" max="11567" width="11.296875" customWidth="1"/>
    <col min="11568" max="11568" width="9.7968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796875" customWidth="1"/>
    <col min="11580" max="11580" width="9.59765625" bestFit="1" customWidth="1"/>
    <col min="11581" max="11581" width="9.296875" customWidth="1"/>
    <col min="11583" max="11583" width="7.19921875" customWidth="1"/>
    <col min="11584" max="11584" width="0" hidden="1" customWidth="1"/>
    <col min="11586" max="11586" width="9.296875" customWidth="1"/>
    <col min="11587" max="11587" width="10.296875" customWidth="1"/>
    <col min="11588" max="11588" width="15.796875" customWidth="1"/>
    <col min="11590" max="11590" width="6.69921875" customWidth="1"/>
    <col min="11777" max="11777" width="0.296875" customWidth="1"/>
    <col min="11778" max="11778" width="17.19921875" customWidth="1"/>
    <col min="11779" max="11779" width="13.296875" customWidth="1"/>
    <col min="11780" max="11780" width="9.59765625" customWidth="1"/>
    <col min="11781" max="11781" width="13.2968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796875" customWidth="1"/>
    <col min="11791" max="11791" width="11.296875" customWidth="1"/>
    <col min="11792" max="11792" width="11.69921875" customWidth="1"/>
    <col min="11793" max="11793" width="10.796875" customWidth="1"/>
    <col min="11794" max="11794" width="16" customWidth="1"/>
    <col min="11795" max="11795" width="14.09765625" customWidth="1"/>
    <col min="11796" max="11796" width="11.69921875" customWidth="1"/>
    <col min="11797" max="11797" width="13.2968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296875" customWidth="1"/>
    <col min="11807" max="11808" width="13.19921875" customWidth="1"/>
    <col min="11809" max="11809" width="8.19921875" bestFit="1" customWidth="1"/>
    <col min="11810" max="11810" width="10" customWidth="1"/>
    <col min="11812" max="11812" width="9.69921875" customWidth="1"/>
    <col min="11813" max="11813" width="9.296875" customWidth="1"/>
    <col min="11814" max="11814" width="10.5" bestFit="1" customWidth="1"/>
    <col min="11821" max="11821" width="9.59765625" customWidth="1"/>
    <col min="11822" max="11822" width="14.69921875" customWidth="1"/>
    <col min="11823" max="11823" width="11.296875" customWidth="1"/>
    <col min="11824" max="11824" width="9.7968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796875" customWidth="1"/>
    <col min="11836" max="11836" width="9.59765625" bestFit="1" customWidth="1"/>
    <col min="11837" max="11837" width="9.296875" customWidth="1"/>
    <col min="11839" max="11839" width="7.19921875" customWidth="1"/>
    <col min="11840" max="11840" width="0" hidden="1" customWidth="1"/>
    <col min="11842" max="11842" width="9.296875" customWidth="1"/>
    <col min="11843" max="11843" width="10.296875" customWidth="1"/>
    <col min="11844" max="11844" width="15.796875" customWidth="1"/>
    <col min="11846" max="11846" width="6.69921875" customWidth="1"/>
    <col min="12033" max="12033" width="0.296875" customWidth="1"/>
    <col min="12034" max="12034" width="17.19921875" customWidth="1"/>
    <col min="12035" max="12035" width="13.296875" customWidth="1"/>
    <col min="12036" max="12036" width="9.59765625" customWidth="1"/>
    <col min="12037" max="12037" width="13.2968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796875" customWidth="1"/>
    <col min="12047" max="12047" width="11.296875" customWidth="1"/>
    <col min="12048" max="12048" width="11.69921875" customWidth="1"/>
    <col min="12049" max="12049" width="10.796875" customWidth="1"/>
    <col min="12050" max="12050" width="16" customWidth="1"/>
    <col min="12051" max="12051" width="14.09765625" customWidth="1"/>
    <col min="12052" max="12052" width="11.69921875" customWidth="1"/>
    <col min="12053" max="12053" width="13.2968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296875" customWidth="1"/>
    <col min="12063" max="12064" width="13.19921875" customWidth="1"/>
    <col min="12065" max="12065" width="8.19921875" bestFit="1" customWidth="1"/>
    <col min="12066" max="12066" width="10" customWidth="1"/>
    <col min="12068" max="12068" width="9.69921875" customWidth="1"/>
    <col min="12069" max="12069" width="9.296875" customWidth="1"/>
    <col min="12070" max="12070" width="10.5" bestFit="1" customWidth="1"/>
    <col min="12077" max="12077" width="9.59765625" customWidth="1"/>
    <col min="12078" max="12078" width="14.69921875" customWidth="1"/>
    <col min="12079" max="12079" width="11.296875" customWidth="1"/>
    <col min="12080" max="12080" width="9.7968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796875" customWidth="1"/>
    <col min="12092" max="12092" width="9.59765625" bestFit="1" customWidth="1"/>
    <col min="12093" max="12093" width="9.296875" customWidth="1"/>
    <col min="12095" max="12095" width="7.19921875" customWidth="1"/>
    <col min="12096" max="12096" width="0" hidden="1" customWidth="1"/>
    <col min="12098" max="12098" width="9.296875" customWidth="1"/>
    <col min="12099" max="12099" width="10.296875" customWidth="1"/>
    <col min="12100" max="12100" width="15.796875" customWidth="1"/>
    <col min="12102" max="12102" width="6.69921875" customWidth="1"/>
    <col min="12289" max="12289" width="0.296875" customWidth="1"/>
    <col min="12290" max="12290" width="17.19921875" customWidth="1"/>
    <col min="12291" max="12291" width="13.296875" customWidth="1"/>
    <col min="12292" max="12292" width="9.59765625" customWidth="1"/>
    <col min="12293" max="12293" width="13.2968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796875" customWidth="1"/>
    <col min="12303" max="12303" width="11.296875" customWidth="1"/>
    <col min="12304" max="12304" width="11.69921875" customWidth="1"/>
    <col min="12305" max="12305" width="10.796875" customWidth="1"/>
    <col min="12306" max="12306" width="16" customWidth="1"/>
    <col min="12307" max="12307" width="14.09765625" customWidth="1"/>
    <col min="12308" max="12308" width="11.69921875" customWidth="1"/>
    <col min="12309" max="12309" width="13.2968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296875" customWidth="1"/>
    <col min="12319" max="12320" width="13.19921875" customWidth="1"/>
    <col min="12321" max="12321" width="8.19921875" bestFit="1" customWidth="1"/>
    <col min="12322" max="12322" width="10" customWidth="1"/>
    <col min="12324" max="12324" width="9.69921875" customWidth="1"/>
    <col min="12325" max="12325" width="9.296875" customWidth="1"/>
    <col min="12326" max="12326" width="10.5" bestFit="1" customWidth="1"/>
    <col min="12333" max="12333" width="9.59765625" customWidth="1"/>
    <col min="12334" max="12334" width="14.69921875" customWidth="1"/>
    <col min="12335" max="12335" width="11.296875" customWidth="1"/>
    <col min="12336" max="12336" width="9.7968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796875" customWidth="1"/>
    <col min="12348" max="12348" width="9.59765625" bestFit="1" customWidth="1"/>
    <col min="12349" max="12349" width="9.296875" customWidth="1"/>
    <col min="12351" max="12351" width="7.19921875" customWidth="1"/>
    <col min="12352" max="12352" width="0" hidden="1" customWidth="1"/>
    <col min="12354" max="12354" width="9.296875" customWidth="1"/>
    <col min="12355" max="12355" width="10.296875" customWidth="1"/>
    <col min="12356" max="12356" width="15.796875" customWidth="1"/>
    <col min="12358" max="12358" width="6.69921875" customWidth="1"/>
    <col min="12545" max="12545" width="0.296875" customWidth="1"/>
    <col min="12546" max="12546" width="17.19921875" customWidth="1"/>
    <col min="12547" max="12547" width="13.296875" customWidth="1"/>
    <col min="12548" max="12548" width="9.59765625" customWidth="1"/>
    <col min="12549" max="12549" width="13.2968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796875" customWidth="1"/>
    <col min="12559" max="12559" width="11.296875" customWidth="1"/>
    <col min="12560" max="12560" width="11.69921875" customWidth="1"/>
    <col min="12561" max="12561" width="10.796875" customWidth="1"/>
    <col min="12562" max="12562" width="16" customWidth="1"/>
    <col min="12563" max="12563" width="14.09765625" customWidth="1"/>
    <col min="12564" max="12564" width="11.69921875" customWidth="1"/>
    <col min="12565" max="12565" width="13.2968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296875" customWidth="1"/>
    <col min="12575" max="12576" width="13.19921875" customWidth="1"/>
    <col min="12577" max="12577" width="8.19921875" bestFit="1" customWidth="1"/>
    <col min="12578" max="12578" width="10" customWidth="1"/>
    <col min="12580" max="12580" width="9.69921875" customWidth="1"/>
    <col min="12581" max="12581" width="9.296875" customWidth="1"/>
    <col min="12582" max="12582" width="10.5" bestFit="1" customWidth="1"/>
    <col min="12589" max="12589" width="9.59765625" customWidth="1"/>
    <col min="12590" max="12590" width="14.69921875" customWidth="1"/>
    <col min="12591" max="12591" width="11.296875" customWidth="1"/>
    <col min="12592" max="12592" width="9.7968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796875" customWidth="1"/>
    <col min="12604" max="12604" width="9.59765625" bestFit="1" customWidth="1"/>
    <col min="12605" max="12605" width="9.296875" customWidth="1"/>
    <col min="12607" max="12607" width="7.19921875" customWidth="1"/>
    <col min="12608" max="12608" width="0" hidden="1" customWidth="1"/>
    <col min="12610" max="12610" width="9.296875" customWidth="1"/>
    <col min="12611" max="12611" width="10.296875" customWidth="1"/>
    <col min="12612" max="12612" width="15.796875" customWidth="1"/>
    <col min="12614" max="12614" width="6.69921875" customWidth="1"/>
    <col min="12801" max="12801" width="0.296875" customWidth="1"/>
    <col min="12802" max="12802" width="17.19921875" customWidth="1"/>
    <col min="12803" max="12803" width="13.296875" customWidth="1"/>
    <col min="12804" max="12804" width="9.59765625" customWidth="1"/>
    <col min="12805" max="12805" width="13.2968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796875" customWidth="1"/>
    <col min="12815" max="12815" width="11.296875" customWidth="1"/>
    <col min="12816" max="12816" width="11.69921875" customWidth="1"/>
    <col min="12817" max="12817" width="10.796875" customWidth="1"/>
    <col min="12818" max="12818" width="16" customWidth="1"/>
    <col min="12819" max="12819" width="14.09765625" customWidth="1"/>
    <col min="12820" max="12820" width="11.69921875" customWidth="1"/>
    <col min="12821" max="12821" width="13.2968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296875" customWidth="1"/>
    <col min="12831" max="12832" width="13.19921875" customWidth="1"/>
    <col min="12833" max="12833" width="8.19921875" bestFit="1" customWidth="1"/>
    <col min="12834" max="12834" width="10" customWidth="1"/>
    <col min="12836" max="12836" width="9.69921875" customWidth="1"/>
    <col min="12837" max="12837" width="9.296875" customWidth="1"/>
    <col min="12838" max="12838" width="10.5" bestFit="1" customWidth="1"/>
    <col min="12845" max="12845" width="9.59765625" customWidth="1"/>
    <col min="12846" max="12846" width="14.69921875" customWidth="1"/>
    <col min="12847" max="12847" width="11.296875" customWidth="1"/>
    <col min="12848" max="12848" width="9.7968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796875" customWidth="1"/>
    <col min="12860" max="12860" width="9.59765625" bestFit="1" customWidth="1"/>
    <col min="12861" max="12861" width="9.296875" customWidth="1"/>
    <col min="12863" max="12863" width="7.19921875" customWidth="1"/>
    <col min="12864" max="12864" width="0" hidden="1" customWidth="1"/>
    <col min="12866" max="12866" width="9.296875" customWidth="1"/>
    <col min="12867" max="12867" width="10.296875" customWidth="1"/>
    <col min="12868" max="12868" width="15.796875" customWidth="1"/>
    <col min="12870" max="12870" width="6.69921875" customWidth="1"/>
    <col min="13057" max="13057" width="0.296875" customWidth="1"/>
    <col min="13058" max="13058" width="17.19921875" customWidth="1"/>
    <col min="13059" max="13059" width="13.296875" customWidth="1"/>
    <col min="13060" max="13060" width="9.59765625" customWidth="1"/>
    <col min="13061" max="13061" width="13.2968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796875" customWidth="1"/>
    <col min="13071" max="13071" width="11.296875" customWidth="1"/>
    <col min="13072" max="13072" width="11.69921875" customWidth="1"/>
    <col min="13073" max="13073" width="10.796875" customWidth="1"/>
    <col min="13074" max="13074" width="16" customWidth="1"/>
    <col min="13075" max="13075" width="14.09765625" customWidth="1"/>
    <col min="13076" max="13076" width="11.69921875" customWidth="1"/>
    <col min="13077" max="13077" width="13.2968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296875" customWidth="1"/>
    <col min="13087" max="13088" width="13.19921875" customWidth="1"/>
    <col min="13089" max="13089" width="8.19921875" bestFit="1" customWidth="1"/>
    <col min="13090" max="13090" width="10" customWidth="1"/>
    <col min="13092" max="13092" width="9.69921875" customWidth="1"/>
    <col min="13093" max="13093" width="9.296875" customWidth="1"/>
    <col min="13094" max="13094" width="10.5" bestFit="1" customWidth="1"/>
    <col min="13101" max="13101" width="9.59765625" customWidth="1"/>
    <col min="13102" max="13102" width="14.69921875" customWidth="1"/>
    <col min="13103" max="13103" width="11.296875" customWidth="1"/>
    <col min="13104" max="13104" width="9.7968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796875" customWidth="1"/>
    <col min="13116" max="13116" width="9.59765625" bestFit="1" customWidth="1"/>
    <col min="13117" max="13117" width="9.296875" customWidth="1"/>
    <col min="13119" max="13119" width="7.19921875" customWidth="1"/>
    <col min="13120" max="13120" width="0" hidden="1" customWidth="1"/>
    <col min="13122" max="13122" width="9.296875" customWidth="1"/>
    <col min="13123" max="13123" width="10.296875" customWidth="1"/>
    <col min="13124" max="13124" width="15.796875" customWidth="1"/>
    <col min="13126" max="13126" width="6.69921875" customWidth="1"/>
    <col min="13313" max="13313" width="0.296875" customWidth="1"/>
    <col min="13314" max="13314" width="17.19921875" customWidth="1"/>
    <col min="13315" max="13315" width="13.296875" customWidth="1"/>
    <col min="13316" max="13316" width="9.59765625" customWidth="1"/>
    <col min="13317" max="13317" width="13.2968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796875" customWidth="1"/>
    <col min="13327" max="13327" width="11.296875" customWidth="1"/>
    <col min="13328" max="13328" width="11.69921875" customWidth="1"/>
    <col min="13329" max="13329" width="10.796875" customWidth="1"/>
    <col min="13330" max="13330" width="16" customWidth="1"/>
    <col min="13331" max="13331" width="14.09765625" customWidth="1"/>
    <col min="13332" max="13332" width="11.69921875" customWidth="1"/>
    <col min="13333" max="13333" width="13.2968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296875" customWidth="1"/>
    <col min="13343" max="13344" width="13.19921875" customWidth="1"/>
    <col min="13345" max="13345" width="8.19921875" bestFit="1" customWidth="1"/>
    <col min="13346" max="13346" width="10" customWidth="1"/>
    <col min="13348" max="13348" width="9.69921875" customWidth="1"/>
    <col min="13349" max="13349" width="9.296875" customWidth="1"/>
    <col min="13350" max="13350" width="10.5" bestFit="1" customWidth="1"/>
    <col min="13357" max="13357" width="9.59765625" customWidth="1"/>
    <col min="13358" max="13358" width="14.69921875" customWidth="1"/>
    <col min="13359" max="13359" width="11.296875" customWidth="1"/>
    <col min="13360" max="13360" width="9.7968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796875" customWidth="1"/>
    <col min="13372" max="13372" width="9.59765625" bestFit="1" customWidth="1"/>
    <col min="13373" max="13373" width="9.296875" customWidth="1"/>
    <col min="13375" max="13375" width="7.19921875" customWidth="1"/>
    <col min="13376" max="13376" width="0" hidden="1" customWidth="1"/>
    <col min="13378" max="13378" width="9.296875" customWidth="1"/>
    <col min="13379" max="13379" width="10.296875" customWidth="1"/>
    <col min="13380" max="13380" width="15.796875" customWidth="1"/>
    <col min="13382" max="13382" width="6.69921875" customWidth="1"/>
    <col min="13569" max="13569" width="0.296875" customWidth="1"/>
    <col min="13570" max="13570" width="17.19921875" customWidth="1"/>
    <col min="13571" max="13571" width="13.296875" customWidth="1"/>
    <col min="13572" max="13572" width="9.59765625" customWidth="1"/>
    <col min="13573" max="13573" width="13.2968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796875" customWidth="1"/>
    <col min="13583" max="13583" width="11.296875" customWidth="1"/>
    <col min="13584" max="13584" width="11.69921875" customWidth="1"/>
    <col min="13585" max="13585" width="10.796875" customWidth="1"/>
    <col min="13586" max="13586" width="16" customWidth="1"/>
    <col min="13587" max="13587" width="14.09765625" customWidth="1"/>
    <col min="13588" max="13588" width="11.69921875" customWidth="1"/>
    <col min="13589" max="13589" width="13.2968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296875" customWidth="1"/>
    <col min="13599" max="13600" width="13.19921875" customWidth="1"/>
    <col min="13601" max="13601" width="8.19921875" bestFit="1" customWidth="1"/>
    <col min="13602" max="13602" width="10" customWidth="1"/>
    <col min="13604" max="13604" width="9.69921875" customWidth="1"/>
    <col min="13605" max="13605" width="9.296875" customWidth="1"/>
    <col min="13606" max="13606" width="10.5" bestFit="1" customWidth="1"/>
    <col min="13613" max="13613" width="9.59765625" customWidth="1"/>
    <col min="13614" max="13614" width="14.69921875" customWidth="1"/>
    <col min="13615" max="13615" width="11.296875" customWidth="1"/>
    <col min="13616" max="13616" width="9.7968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796875" customWidth="1"/>
    <col min="13628" max="13628" width="9.59765625" bestFit="1" customWidth="1"/>
    <col min="13629" max="13629" width="9.296875" customWidth="1"/>
    <col min="13631" max="13631" width="7.19921875" customWidth="1"/>
    <col min="13632" max="13632" width="0" hidden="1" customWidth="1"/>
    <col min="13634" max="13634" width="9.296875" customWidth="1"/>
    <col min="13635" max="13635" width="10.296875" customWidth="1"/>
    <col min="13636" max="13636" width="15.796875" customWidth="1"/>
    <col min="13638" max="13638" width="6.69921875" customWidth="1"/>
    <col min="13825" max="13825" width="0.296875" customWidth="1"/>
    <col min="13826" max="13826" width="17.19921875" customWidth="1"/>
    <col min="13827" max="13827" width="13.296875" customWidth="1"/>
    <col min="13828" max="13828" width="9.59765625" customWidth="1"/>
    <col min="13829" max="13829" width="13.2968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796875" customWidth="1"/>
    <col min="13839" max="13839" width="11.296875" customWidth="1"/>
    <col min="13840" max="13840" width="11.69921875" customWidth="1"/>
    <col min="13841" max="13841" width="10.796875" customWidth="1"/>
    <col min="13842" max="13842" width="16" customWidth="1"/>
    <col min="13843" max="13843" width="14.09765625" customWidth="1"/>
    <col min="13844" max="13844" width="11.69921875" customWidth="1"/>
    <col min="13845" max="13845" width="13.2968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296875" customWidth="1"/>
    <col min="13855" max="13856" width="13.19921875" customWidth="1"/>
    <col min="13857" max="13857" width="8.19921875" bestFit="1" customWidth="1"/>
    <col min="13858" max="13858" width="10" customWidth="1"/>
    <col min="13860" max="13860" width="9.69921875" customWidth="1"/>
    <col min="13861" max="13861" width="9.296875" customWidth="1"/>
    <col min="13862" max="13862" width="10.5" bestFit="1" customWidth="1"/>
    <col min="13869" max="13869" width="9.59765625" customWidth="1"/>
    <col min="13870" max="13870" width="14.69921875" customWidth="1"/>
    <col min="13871" max="13871" width="11.296875" customWidth="1"/>
    <col min="13872" max="13872" width="9.7968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796875" customWidth="1"/>
    <col min="13884" max="13884" width="9.59765625" bestFit="1" customWidth="1"/>
    <col min="13885" max="13885" width="9.296875" customWidth="1"/>
    <col min="13887" max="13887" width="7.19921875" customWidth="1"/>
    <col min="13888" max="13888" width="0" hidden="1" customWidth="1"/>
    <col min="13890" max="13890" width="9.296875" customWidth="1"/>
    <col min="13891" max="13891" width="10.296875" customWidth="1"/>
    <col min="13892" max="13892" width="15.796875" customWidth="1"/>
    <col min="13894" max="13894" width="6.69921875" customWidth="1"/>
    <col min="14081" max="14081" width="0.296875" customWidth="1"/>
    <col min="14082" max="14082" width="17.19921875" customWidth="1"/>
    <col min="14083" max="14083" width="13.296875" customWidth="1"/>
    <col min="14084" max="14084" width="9.59765625" customWidth="1"/>
    <col min="14085" max="14085" width="13.2968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796875" customWidth="1"/>
    <col min="14095" max="14095" width="11.296875" customWidth="1"/>
    <col min="14096" max="14096" width="11.69921875" customWidth="1"/>
    <col min="14097" max="14097" width="10.796875" customWidth="1"/>
    <col min="14098" max="14098" width="16" customWidth="1"/>
    <col min="14099" max="14099" width="14.09765625" customWidth="1"/>
    <col min="14100" max="14100" width="11.69921875" customWidth="1"/>
    <col min="14101" max="14101" width="13.2968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296875" customWidth="1"/>
    <col min="14111" max="14112" width="13.19921875" customWidth="1"/>
    <col min="14113" max="14113" width="8.19921875" bestFit="1" customWidth="1"/>
    <col min="14114" max="14114" width="10" customWidth="1"/>
    <col min="14116" max="14116" width="9.69921875" customWidth="1"/>
    <col min="14117" max="14117" width="9.296875" customWidth="1"/>
    <col min="14118" max="14118" width="10.5" bestFit="1" customWidth="1"/>
    <col min="14125" max="14125" width="9.59765625" customWidth="1"/>
    <col min="14126" max="14126" width="14.69921875" customWidth="1"/>
    <col min="14127" max="14127" width="11.296875" customWidth="1"/>
    <col min="14128" max="14128" width="9.7968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796875" customWidth="1"/>
    <col min="14140" max="14140" width="9.59765625" bestFit="1" customWidth="1"/>
    <col min="14141" max="14141" width="9.296875" customWidth="1"/>
    <col min="14143" max="14143" width="7.19921875" customWidth="1"/>
    <col min="14144" max="14144" width="0" hidden="1" customWidth="1"/>
    <col min="14146" max="14146" width="9.296875" customWidth="1"/>
    <col min="14147" max="14147" width="10.296875" customWidth="1"/>
    <col min="14148" max="14148" width="15.796875" customWidth="1"/>
    <col min="14150" max="14150" width="6.69921875" customWidth="1"/>
    <col min="14337" max="14337" width="0.296875" customWidth="1"/>
    <col min="14338" max="14338" width="17.19921875" customWidth="1"/>
    <col min="14339" max="14339" width="13.296875" customWidth="1"/>
    <col min="14340" max="14340" width="9.59765625" customWidth="1"/>
    <col min="14341" max="14341" width="13.2968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796875" customWidth="1"/>
    <col min="14351" max="14351" width="11.296875" customWidth="1"/>
    <col min="14352" max="14352" width="11.69921875" customWidth="1"/>
    <col min="14353" max="14353" width="10.796875" customWidth="1"/>
    <col min="14354" max="14354" width="16" customWidth="1"/>
    <col min="14355" max="14355" width="14.09765625" customWidth="1"/>
    <col min="14356" max="14356" width="11.69921875" customWidth="1"/>
    <col min="14357" max="14357" width="13.2968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296875" customWidth="1"/>
    <col min="14367" max="14368" width="13.19921875" customWidth="1"/>
    <col min="14369" max="14369" width="8.19921875" bestFit="1" customWidth="1"/>
    <col min="14370" max="14370" width="10" customWidth="1"/>
    <col min="14372" max="14372" width="9.69921875" customWidth="1"/>
    <col min="14373" max="14373" width="9.296875" customWidth="1"/>
    <col min="14374" max="14374" width="10.5" bestFit="1" customWidth="1"/>
    <col min="14381" max="14381" width="9.59765625" customWidth="1"/>
    <col min="14382" max="14382" width="14.69921875" customWidth="1"/>
    <col min="14383" max="14383" width="11.296875" customWidth="1"/>
    <col min="14384" max="14384" width="9.7968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796875" customWidth="1"/>
    <col min="14396" max="14396" width="9.59765625" bestFit="1" customWidth="1"/>
    <col min="14397" max="14397" width="9.296875" customWidth="1"/>
    <col min="14399" max="14399" width="7.19921875" customWidth="1"/>
    <col min="14400" max="14400" width="0" hidden="1" customWidth="1"/>
    <col min="14402" max="14402" width="9.296875" customWidth="1"/>
    <col min="14403" max="14403" width="10.296875" customWidth="1"/>
    <col min="14404" max="14404" width="15.796875" customWidth="1"/>
    <col min="14406" max="14406" width="6.69921875" customWidth="1"/>
    <col min="14593" max="14593" width="0.296875" customWidth="1"/>
    <col min="14594" max="14594" width="17.19921875" customWidth="1"/>
    <col min="14595" max="14595" width="13.296875" customWidth="1"/>
    <col min="14596" max="14596" width="9.59765625" customWidth="1"/>
    <col min="14597" max="14597" width="13.2968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796875" customWidth="1"/>
    <col min="14607" max="14607" width="11.296875" customWidth="1"/>
    <col min="14608" max="14608" width="11.69921875" customWidth="1"/>
    <col min="14609" max="14609" width="10.796875" customWidth="1"/>
    <col min="14610" max="14610" width="16" customWidth="1"/>
    <col min="14611" max="14611" width="14.09765625" customWidth="1"/>
    <col min="14612" max="14612" width="11.69921875" customWidth="1"/>
    <col min="14613" max="14613" width="13.2968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296875" customWidth="1"/>
    <col min="14623" max="14624" width="13.19921875" customWidth="1"/>
    <col min="14625" max="14625" width="8.19921875" bestFit="1" customWidth="1"/>
    <col min="14626" max="14626" width="10" customWidth="1"/>
    <col min="14628" max="14628" width="9.69921875" customWidth="1"/>
    <col min="14629" max="14629" width="9.296875" customWidth="1"/>
    <col min="14630" max="14630" width="10.5" bestFit="1" customWidth="1"/>
    <col min="14637" max="14637" width="9.59765625" customWidth="1"/>
    <col min="14638" max="14638" width="14.69921875" customWidth="1"/>
    <col min="14639" max="14639" width="11.296875" customWidth="1"/>
    <col min="14640" max="14640" width="9.7968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796875" customWidth="1"/>
    <col min="14652" max="14652" width="9.59765625" bestFit="1" customWidth="1"/>
    <col min="14653" max="14653" width="9.296875" customWidth="1"/>
    <col min="14655" max="14655" width="7.19921875" customWidth="1"/>
    <col min="14656" max="14656" width="0" hidden="1" customWidth="1"/>
    <col min="14658" max="14658" width="9.296875" customWidth="1"/>
    <col min="14659" max="14659" width="10.296875" customWidth="1"/>
    <col min="14660" max="14660" width="15.796875" customWidth="1"/>
    <col min="14662" max="14662" width="6.69921875" customWidth="1"/>
    <col min="14849" max="14849" width="0.296875" customWidth="1"/>
    <col min="14850" max="14850" width="17.19921875" customWidth="1"/>
    <col min="14851" max="14851" width="13.296875" customWidth="1"/>
    <col min="14852" max="14852" width="9.59765625" customWidth="1"/>
    <col min="14853" max="14853" width="13.2968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796875" customWidth="1"/>
    <col min="14863" max="14863" width="11.296875" customWidth="1"/>
    <col min="14864" max="14864" width="11.69921875" customWidth="1"/>
    <col min="14865" max="14865" width="10.796875" customWidth="1"/>
    <col min="14866" max="14866" width="16" customWidth="1"/>
    <col min="14867" max="14867" width="14.09765625" customWidth="1"/>
    <col min="14868" max="14868" width="11.69921875" customWidth="1"/>
    <col min="14869" max="14869" width="13.2968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296875" customWidth="1"/>
    <col min="14879" max="14880" width="13.19921875" customWidth="1"/>
    <col min="14881" max="14881" width="8.19921875" bestFit="1" customWidth="1"/>
    <col min="14882" max="14882" width="10" customWidth="1"/>
    <col min="14884" max="14884" width="9.69921875" customWidth="1"/>
    <col min="14885" max="14885" width="9.296875" customWidth="1"/>
    <col min="14886" max="14886" width="10.5" bestFit="1" customWidth="1"/>
    <col min="14893" max="14893" width="9.59765625" customWidth="1"/>
    <col min="14894" max="14894" width="14.69921875" customWidth="1"/>
    <col min="14895" max="14895" width="11.296875" customWidth="1"/>
    <col min="14896" max="14896" width="9.7968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796875" customWidth="1"/>
    <col min="14908" max="14908" width="9.59765625" bestFit="1" customWidth="1"/>
    <col min="14909" max="14909" width="9.296875" customWidth="1"/>
    <col min="14911" max="14911" width="7.19921875" customWidth="1"/>
    <col min="14912" max="14912" width="0" hidden="1" customWidth="1"/>
    <col min="14914" max="14914" width="9.296875" customWidth="1"/>
    <col min="14915" max="14915" width="10.296875" customWidth="1"/>
    <col min="14916" max="14916" width="15.796875" customWidth="1"/>
    <col min="14918" max="14918" width="6.69921875" customWidth="1"/>
    <col min="15105" max="15105" width="0.296875" customWidth="1"/>
    <col min="15106" max="15106" width="17.19921875" customWidth="1"/>
    <col min="15107" max="15107" width="13.296875" customWidth="1"/>
    <col min="15108" max="15108" width="9.59765625" customWidth="1"/>
    <col min="15109" max="15109" width="13.2968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796875" customWidth="1"/>
    <col min="15119" max="15119" width="11.296875" customWidth="1"/>
    <col min="15120" max="15120" width="11.69921875" customWidth="1"/>
    <col min="15121" max="15121" width="10.796875" customWidth="1"/>
    <col min="15122" max="15122" width="16" customWidth="1"/>
    <col min="15123" max="15123" width="14.09765625" customWidth="1"/>
    <col min="15124" max="15124" width="11.69921875" customWidth="1"/>
    <col min="15125" max="15125" width="13.2968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296875" customWidth="1"/>
    <col min="15135" max="15136" width="13.19921875" customWidth="1"/>
    <col min="15137" max="15137" width="8.19921875" bestFit="1" customWidth="1"/>
    <col min="15138" max="15138" width="10" customWidth="1"/>
    <col min="15140" max="15140" width="9.69921875" customWidth="1"/>
    <col min="15141" max="15141" width="9.296875" customWidth="1"/>
    <col min="15142" max="15142" width="10.5" bestFit="1" customWidth="1"/>
    <col min="15149" max="15149" width="9.59765625" customWidth="1"/>
    <col min="15150" max="15150" width="14.69921875" customWidth="1"/>
    <col min="15151" max="15151" width="11.296875" customWidth="1"/>
    <col min="15152" max="15152" width="9.7968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796875" customWidth="1"/>
    <col min="15164" max="15164" width="9.59765625" bestFit="1" customWidth="1"/>
    <col min="15165" max="15165" width="9.296875" customWidth="1"/>
    <col min="15167" max="15167" width="7.19921875" customWidth="1"/>
    <col min="15168" max="15168" width="0" hidden="1" customWidth="1"/>
    <col min="15170" max="15170" width="9.296875" customWidth="1"/>
    <col min="15171" max="15171" width="10.296875" customWidth="1"/>
    <col min="15172" max="15172" width="15.796875" customWidth="1"/>
    <col min="15174" max="15174" width="6.69921875" customWidth="1"/>
    <col min="15361" max="15361" width="0.296875" customWidth="1"/>
    <col min="15362" max="15362" width="17.19921875" customWidth="1"/>
    <col min="15363" max="15363" width="13.296875" customWidth="1"/>
    <col min="15364" max="15364" width="9.59765625" customWidth="1"/>
    <col min="15365" max="15365" width="13.2968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796875" customWidth="1"/>
    <col min="15375" max="15375" width="11.296875" customWidth="1"/>
    <col min="15376" max="15376" width="11.69921875" customWidth="1"/>
    <col min="15377" max="15377" width="10.796875" customWidth="1"/>
    <col min="15378" max="15378" width="16" customWidth="1"/>
    <col min="15379" max="15379" width="14.09765625" customWidth="1"/>
    <col min="15380" max="15380" width="11.69921875" customWidth="1"/>
    <col min="15381" max="15381" width="13.2968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296875" customWidth="1"/>
    <col min="15391" max="15392" width="13.19921875" customWidth="1"/>
    <col min="15393" max="15393" width="8.19921875" bestFit="1" customWidth="1"/>
    <col min="15394" max="15394" width="10" customWidth="1"/>
    <col min="15396" max="15396" width="9.69921875" customWidth="1"/>
    <col min="15397" max="15397" width="9.296875" customWidth="1"/>
    <col min="15398" max="15398" width="10.5" bestFit="1" customWidth="1"/>
    <col min="15405" max="15405" width="9.59765625" customWidth="1"/>
    <col min="15406" max="15406" width="14.69921875" customWidth="1"/>
    <col min="15407" max="15407" width="11.296875" customWidth="1"/>
    <col min="15408" max="15408" width="9.7968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796875" customWidth="1"/>
    <col min="15420" max="15420" width="9.59765625" bestFit="1" customWidth="1"/>
    <col min="15421" max="15421" width="9.296875" customWidth="1"/>
    <col min="15423" max="15423" width="7.19921875" customWidth="1"/>
    <col min="15424" max="15424" width="0" hidden="1" customWidth="1"/>
    <col min="15426" max="15426" width="9.296875" customWidth="1"/>
    <col min="15427" max="15427" width="10.296875" customWidth="1"/>
    <col min="15428" max="15428" width="15.796875" customWidth="1"/>
    <col min="15430" max="15430" width="6.69921875" customWidth="1"/>
    <col min="15617" max="15617" width="0.296875" customWidth="1"/>
    <col min="15618" max="15618" width="17.19921875" customWidth="1"/>
    <col min="15619" max="15619" width="13.296875" customWidth="1"/>
    <col min="15620" max="15620" width="9.59765625" customWidth="1"/>
    <col min="15621" max="15621" width="13.2968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796875" customWidth="1"/>
    <col min="15631" max="15631" width="11.296875" customWidth="1"/>
    <col min="15632" max="15632" width="11.69921875" customWidth="1"/>
    <col min="15633" max="15633" width="10.796875" customWidth="1"/>
    <col min="15634" max="15634" width="16" customWidth="1"/>
    <col min="15635" max="15635" width="14.09765625" customWidth="1"/>
    <col min="15636" max="15636" width="11.69921875" customWidth="1"/>
    <col min="15637" max="15637" width="13.2968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296875" customWidth="1"/>
    <col min="15647" max="15648" width="13.19921875" customWidth="1"/>
    <col min="15649" max="15649" width="8.19921875" bestFit="1" customWidth="1"/>
    <col min="15650" max="15650" width="10" customWidth="1"/>
    <col min="15652" max="15652" width="9.69921875" customWidth="1"/>
    <col min="15653" max="15653" width="9.296875" customWidth="1"/>
    <col min="15654" max="15654" width="10.5" bestFit="1" customWidth="1"/>
    <col min="15661" max="15661" width="9.59765625" customWidth="1"/>
    <col min="15662" max="15662" width="14.69921875" customWidth="1"/>
    <col min="15663" max="15663" width="11.296875" customWidth="1"/>
    <col min="15664" max="15664" width="9.7968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796875" customWidth="1"/>
    <col min="15676" max="15676" width="9.59765625" bestFit="1" customWidth="1"/>
    <col min="15677" max="15677" width="9.296875" customWidth="1"/>
    <col min="15679" max="15679" width="7.19921875" customWidth="1"/>
    <col min="15680" max="15680" width="0" hidden="1" customWidth="1"/>
    <col min="15682" max="15682" width="9.296875" customWidth="1"/>
    <col min="15683" max="15683" width="10.296875" customWidth="1"/>
    <col min="15684" max="15684" width="15.796875" customWidth="1"/>
    <col min="15686" max="15686" width="6.69921875" customWidth="1"/>
    <col min="15873" max="15873" width="0.296875" customWidth="1"/>
    <col min="15874" max="15874" width="17.19921875" customWidth="1"/>
    <col min="15875" max="15875" width="13.296875" customWidth="1"/>
    <col min="15876" max="15876" width="9.59765625" customWidth="1"/>
    <col min="15877" max="15877" width="13.2968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796875" customWidth="1"/>
    <col min="15887" max="15887" width="11.296875" customWidth="1"/>
    <col min="15888" max="15888" width="11.69921875" customWidth="1"/>
    <col min="15889" max="15889" width="10.796875" customWidth="1"/>
    <col min="15890" max="15890" width="16" customWidth="1"/>
    <col min="15891" max="15891" width="14.09765625" customWidth="1"/>
    <col min="15892" max="15892" width="11.69921875" customWidth="1"/>
    <col min="15893" max="15893" width="13.2968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296875" customWidth="1"/>
    <col min="15903" max="15904" width="13.19921875" customWidth="1"/>
    <col min="15905" max="15905" width="8.19921875" bestFit="1" customWidth="1"/>
    <col min="15906" max="15906" width="10" customWidth="1"/>
    <col min="15908" max="15908" width="9.69921875" customWidth="1"/>
    <col min="15909" max="15909" width="9.296875" customWidth="1"/>
    <col min="15910" max="15910" width="10.5" bestFit="1" customWidth="1"/>
    <col min="15917" max="15917" width="9.59765625" customWidth="1"/>
    <col min="15918" max="15918" width="14.69921875" customWidth="1"/>
    <col min="15919" max="15919" width="11.296875" customWidth="1"/>
    <col min="15920" max="15920" width="9.7968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796875" customWidth="1"/>
    <col min="15932" max="15932" width="9.59765625" bestFit="1" customWidth="1"/>
    <col min="15933" max="15933" width="9.296875" customWidth="1"/>
    <col min="15935" max="15935" width="7.19921875" customWidth="1"/>
    <col min="15936" max="15936" width="0" hidden="1" customWidth="1"/>
    <col min="15938" max="15938" width="9.296875" customWidth="1"/>
    <col min="15939" max="15939" width="10.296875" customWidth="1"/>
    <col min="15940" max="15940" width="15.796875" customWidth="1"/>
    <col min="15942" max="15942" width="6.69921875" customWidth="1"/>
    <col min="16129" max="16129" width="0.296875" customWidth="1"/>
    <col min="16130" max="16130" width="17.19921875" customWidth="1"/>
    <col min="16131" max="16131" width="13.296875" customWidth="1"/>
    <col min="16132" max="16132" width="9.59765625" customWidth="1"/>
    <col min="16133" max="16133" width="13.2968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796875" customWidth="1"/>
    <col min="16143" max="16143" width="11.296875" customWidth="1"/>
    <col min="16144" max="16144" width="11.69921875" customWidth="1"/>
    <col min="16145" max="16145" width="10.796875" customWidth="1"/>
    <col min="16146" max="16146" width="16" customWidth="1"/>
    <col min="16147" max="16147" width="14.09765625" customWidth="1"/>
    <col min="16148" max="16148" width="11.69921875" customWidth="1"/>
    <col min="16149" max="16149" width="13.2968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296875" customWidth="1"/>
    <col min="16159" max="16160" width="13.19921875" customWidth="1"/>
    <col min="16161" max="16161" width="8.19921875" bestFit="1" customWidth="1"/>
    <col min="16162" max="16162" width="10" customWidth="1"/>
    <col min="16164" max="16164" width="9.69921875" customWidth="1"/>
    <col min="16165" max="16165" width="9.296875" customWidth="1"/>
    <col min="16166" max="16166" width="10.5" bestFit="1" customWidth="1"/>
    <col min="16173" max="16173" width="9.59765625" customWidth="1"/>
    <col min="16174" max="16174" width="14.69921875" customWidth="1"/>
    <col min="16175" max="16175" width="11.296875" customWidth="1"/>
    <col min="16176" max="16176" width="9.7968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796875" customWidth="1"/>
    <col min="16188" max="16188" width="9.59765625" bestFit="1" customWidth="1"/>
    <col min="16189" max="16189" width="9.296875" customWidth="1"/>
    <col min="16191" max="16191" width="7.19921875" customWidth="1"/>
    <col min="16192" max="16192" width="0" hidden="1" customWidth="1"/>
    <col min="16194" max="16194" width="9.296875" customWidth="1"/>
    <col min="16195" max="16195" width="10.296875" customWidth="1"/>
    <col min="16196" max="16196" width="15.796875" customWidth="1"/>
    <col min="16198" max="16198" width="6.69921875" customWidth="1"/>
  </cols>
  <sheetData>
    <row r="1" spans="1:124" ht="15" thickTop="1" thickBot="1" x14ac:dyDescent="0.3">
      <c r="B1" s="22" t="s">
        <v>51</v>
      </c>
      <c r="C1" s="23"/>
      <c r="D1" s="24"/>
      <c r="E1" s="24"/>
      <c r="F1" s="25"/>
      <c r="G1" s="26"/>
      <c r="H1" s="26" t="s">
        <v>52</v>
      </c>
      <c r="I1" s="26"/>
      <c r="J1" s="26"/>
      <c r="K1" s="26"/>
      <c r="L1" s="26"/>
      <c r="M1" s="26"/>
      <c r="N1" s="26"/>
      <c r="O1" s="26"/>
      <c r="P1" s="26">
        <f>N82</f>
        <v>6300.0034374999996</v>
      </c>
      <c r="Q1" s="26" t="e">
        <f>VLOOKUP($I$32,K157:L173,2)</f>
        <v>#N/A</v>
      </c>
      <c r="R1" s="26" t="s">
        <v>53</v>
      </c>
      <c r="S1" s="26">
        <f>ROUND((J4-AQ17)/365.25,2)</f>
        <v>-110.72</v>
      </c>
      <c r="T1" s="26"/>
      <c r="U1" s="26"/>
      <c r="V1" s="26"/>
      <c r="W1" s="26" t="s">
        <v>54</v>
      </c>
      <c r="X1" s="26">
        <f>IF(BG60-INT(BG60)=0.5,1,0)</f>
        <v>0</v>
      </c>
      <c r="Y1" s="26">
        <f>IF(X1=0,0,IF(BG60&lt;=7,3.75,4.25))</f>
        <v>0</v>
      </c>
      <c r="Z1" s="26"/>
      <c r="AA1" s="26" t="s">
        <v>55</v>
      </c>
      <c r="AB1" s="26"/>
      <c r="AC1" s="26"/>
      <c r="AD1" s="26"/>
      <c r="AE1" s="26"/>
      <c r="AF1" s="26"/>
      <c r="AG1" s="26"/>
      <c r="AH1" s="26"/>
      <c r="AI1" s="26"/>
      <c r="AJ1" s="26"/>
      <c r="AK1" s="26"/>
      <c r="AL1" s="26"/>
      <c r="AM1" s="26"/>
      <c r="AN1" s="26" t="s">
        <v>56</v>
      </c>
      <c r="AO1" s="26"/>
      <c r="AP1" s="26"/>
      <c r="AQ1" s="26"/>
      <c r="AR1" s="26"/>
      <c r="AS1" s="26"/>
      <c r="AT1" s="26"/>
      <c r="AU1" s="26"/>
      <c r="AV1" s="26"/>
      <c r="AW1" s="26"/>
      <c r="AX1" s="26"/>
      <c r="AY1" s="26"/>
      <c r="AZ1" s="26"/>
      <c r="BA1" s="26" t="s">
        <v>57</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58</v>
      </c>
      <c r="C2" s="28" t="s">
        <v>59</v>
      </c>
      <c r="D2" s="29"/>
      <c r="E2" s="29"/>
      <c r="F2" s="30" t="s">
        <v>60</v>
      </c>
      <c r="G2" s="26"/>
      <c r="H2" s="26"/>
      <c r="I2" s="26"/>
      <c r="J2" s="26"/>
      <c r="K2" s="26"/>
      <c r="L2" s="26"/>
      <c r="M2" s="26" t="s">
        <v>61</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62</v>
      </c>
      <c r="U2" s="26" t="s">
        <v>27</v>
      </c>
      <c r="V2" s="26"/>
      <c r="W2" s="26" t="s">
        <v>63</v>
      </c>
      <c r="X2" s="26">
        <v>0.03</v>
      </c>
      <c r="Y2" s="26">
        <f>1+(Y1/100)</f>
        <v>1</v>
      </c>
      <c r="Z2" s="26"/>
      <c r="AA2" s="26">
        <v>0</v>
      </c>
      <c r="AB2" s="26">
        <v>0</v>
      </c>
      <c r="AC2" s="26"/>
      <c r="AD2" s="26" t="s">
        <v>64</v>
      </c>
      <c r="AE2" s="26"/>
      <c r="AF2" s="26"/>
      <c r="AG2" s="26"/>
      <c r="AH2" s="26"/>
      <c r="AI2" s="26"/>
      <c r="AJ2" s="26"/>
      <c r="AK2" s="26"/>
      <c r="AL2" s="26"/>
      <c r="AM2" s="26"/>
      <c r="AN2" s="26" t="s">
        <v>65</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66</v>
      </c>
      <c r="N3" s="26">
        <f>J32</f>
        <v>0</v>
      </c>
      <c r="O3" s="26"/>
      <c r="P3" s="26" t="s">
        <v>67</v>
      </c>
      <c r="Q3" s="26" t="s">
        <v>68</v>
      </c>
      <c r="R3" s="26"/>
      <c r="S3" s="26"/>
      <c r="T3" s="26" t="s">
        <v>69</v>
      </c>
      <c r="U3" s="26" t="s">
        <v>70</v>
      </c>
      <c r="V3" s="26"/>
      <c r="W3" s="26" t="s">
        <v>71</v>
      </c>
      <c r="X3" s="26">
        <v>4.8099999999999997E-2</v>
      </c>
      <c r="Y3" s="26"/>
      <c r="Z3" s="26"/>
      <c r="AA3" s="26">
        <v>1</v>
      </c>
      <c r="AB3" s="26">
        <v>0.47499999999999998</v>
      </c>
      <c r="AC3" s="26" t="s">
        <v>58</v>
      </c>
      <c r="AD3" s="26">
        <v>0.09</v>
      </c>
      <c r="AE3" s="26" t="s">
        <v>72</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609</v>
      </c>
      <c r="C4" s="32"/>
      <c r="D4" s="205" t="s">
        <v>73</v>
      </c>
      <c r="E4" s="205"/>
      <c r="F4" s="205"/>
      <c r="G4" s="205"/>
      <c r="H4" s="26"/>
      <c r="I4" s="26"/>
      <c r="J4" s="26"/>
      <c r="K4" s="26"/>
      <c r="L4" s="26"/>
      <c r="M4" s="26"/>
      <c r="N4" s="26"/>
      <c r="O4" s="26"/>
      <c r="P4" s="26">
        <f>VLOOKUP(INT(1),horaa2,$AJ$8+2,FALSE)*$AB$44</f>
        <v>2967.49</v>
      </c>
      <c r="Q4" s="26"/>
      <c r="R4" s="26"/>
      <c r="S4" s="26"/>
      <c r="T4" s="26" t="s">
        <v>74</v>
      </c>
      <c r="U4" s="26" t="s">
        <v>75</v>
      </c>
      <c r="V4" s="26"/>
      <c r="W4" s="26"/>
      <c r="X4" s="26"/>
      <c r="Y4" s="26"/>
      <c r="Z4" s="26"/>
      <c r="AA4" s="26">
        <v>2</v>
      </c>
      <c r="AB4" s="26">
        <v>0.495</v>
      </c>
      <c r="AC4" s="26" t="s">
        <v>58</v>
      </c>
      <c r="AD4" s="26">
        <v>8.2500000000000004E-2</v>
      </c>
      <c r="AE4" s="26" t="s">
        <v>76</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77</v>
      </c>
      <c r="N5" s="26"/>
      <c r="O5" s="26"/>
      <c r="P5" s="26" t="s">
        <v>78</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58</v>
      </c>
      <c r="AD5" s="26">
        <v>7.4999999999999997E-2</v>
      </c>
      <c r="AE5" s="26" t="s">
        <v>79</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80</v>
      </c>
      <c r="E6" s="37"/>
      <c r="F6" s="40"/>
      <c r="G6" s="26"/>
      <c r="H6" s="26"/>
      <c r="I6" s="26"/>
      <c r="J6" s="26"/>
      <c r="K6" s="26"/>
      <c r="L6" s="26"/>
      <c r="M6" s="26"/>
      <c r="N6" s="26" t="s">
        <v>81</v>
      </c>
      <c r="O6" s="26" t="s">
        <v>82</v>
      </c>
      <c r="P6" s="26">
        <f>P4*C9</f>
        <v>29.674899999999997</v>
      </c>
      <c r="Q6" s="26"/>
      <c r="R6" s="26"/>
      <c r="S6" s="26"/>
      <c r="T6" s="26"/>
      <c r="U6" s="26"/>
      <c r="V6" s="26"/>
      <c r="W6" s="26"/>
      <c r="X6" s="26" t="s">
        <v>83</v>
      </c>
      <c r="Y6" s="26"/>
      <c r="Z6" s="26"/>
      <c r="AA6" s="26">
        <v>4</v>
      </c>
      <c r="AB6" s="26">
        <v>0.53</v>
      </c>
      <c r="AC6" s="26" t="s">
        <v>58</v>
      </c>
      <c r="AD6" s="26">
        <v>6.7500000000000004E-2</v>
      </c>
      <c r="AE6" s="26" t="s">
        <v>84</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85</v>
      </c>
      <c r="E7" s="38"/>
      <c r="F7" s="26"/>
      <c r="G7" s="26"/>
      <c r="H7" s="26"/>
      <c r="I7" s="26"/>
      <c r="J7" s="26"/>
      <c r="K7" s="26"/>
      <c r="L7" s="26"/>
      <c r="M7" s="26" t="s">
        <v>86</v>
      </c>
      <c r="N7" s="26">
        <f>I32</f>
        <v>0</v>
      </c>
      <c r="O7" s="26">
        <f>N7*C9</f>
        <v>0</v>
      </c>
      <c r="P7" s="26" t="s">
        <v>86</v>
      </c>
      <c r="Q7" s="26" t="e">
        <f>IF(BG61+BG62+H153&gt;=AO40,'[1]נתוני מס'!I16*Q26,0)</f>
        <v>#REF!</v>
      </c>
      <c r="R7" s="26"/>
      <c r="S7" s="26" t="s">
        <v>87</v>
      </c>
      <c r="T7" s="26">
        <f>ROUND((J4-AQ20)/365.25,2)</f>
        <v>-58.21</v>
      </c>
      <c r="U7" s="26" t="s">
        <v>88</v>
      </c>
      <c r="V7" s="26">
        <f>ROUND((AK25-AQ17)/365.25,2)</f>
        <v>0.36</v>
      </c>
      <c r="W7" s="26"/>
      <c r="X7" s="26" t="s">
        <v>6</v>
      </c>
      <c r="Y7" s="26"/>
      <c r="Z7" s="26"/>
      <c r="AA7" s="26">
        <v>5</v>
      </c>
      <c r="AB7" s="26">
        <v>0.54500000000000004</v>
      </c>
      <c r="AC7" s="26" t="s">
        <v>58</v>
      </c>
      <c r="AD7" s="26">
        <v>0.06</v>
      </c>
      <c r="AE7" s="26" t="s">
        <v>89</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90</v>
      </c>
      <c r="C8" s="42">
        <v>1</v>
      </c>
      <c r="D8" s="36" t="s">
        <v>91</v>
      </c>
      <c r="E8" s="37"/>
      <c r="F8" s="26"/>
      <c r="G8" s="26"/>
      <c r="H8" s="26"/>
      <c r="I8" s="26"/>
      <c r="J8" s="26"/>
      <c r="K8" s="26"/>
      <c r="L8" s="26"/>
      <c r="M8" s="26" t="s">
        <v>92</v>
      </c>
      <c r="N8" s="26">
        <f>IF(J29*N7&gt;0,J29*N7,0)</f>
        <v>0</v>
      </c>
      <c r="O8" s="26"/>
      <c r="P8" s="26" t="s">
        <v>93</v>
      </c>
      <c r="Q8" s="26">
        <f>IF(BG61&lt;26,'[1]נתוני מס'!I18*BC27,'[1]נתוני מס'!I19*BC27)</f>
        <v>2014</v>
      </c>
      <c r="R8" s="26"/>
      <c r="S8" s="26" t="s">
        <v>94</v>
      </c>
      <c r="T8" s="26" t="e">
        <f>IF(BG59=#REF!,59-T7,60-T7)</f>
        <v>#REF!</v>
      </c>
      <c r="U8" s="26" t="s">
        <v>95</v>
      </c>
      <c r="V8" s="26" t="e">
        <f>V7+T8</f>
        <v>#REF!</v>
      </c>
      <c r="W8" s="26"/>
      <c r="X8" s="26" t="s">
        <v>96</v>
      </c>
      <c r="Y8" s="26"/>
      <c r="Z8" s="26"/>
      <c r="AA8" s="26">
        <v>6</v>
      </c>
      <c r="AB8" s="26">
        <v>0.56499999999999995</v>
      </c>
      <c r="AC8" s="26" t="s">
        <v>58</v>
      </c>
      <c r="AD8" s="26">
        <v>5.2499999999999998E-2</v>
      </c>
      <c r="AE8" s="26" t="s">
        <v>97</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98</v>
      </c>
      <c r="C9" s="44">
        <v>0.01</v>
      </c>
      <c r="D9" s="208" t="s">
        <v>99</v>
      </c>
      <c r="E9" s="209"/>
      <c r="F9" s="26"/>
      <c r="G9" s="26"/>
      <c r="H9" s="26"/>
      <c r="I9" s="26"/>
      <c r="J9" s="26"/>
      <c r="K9" s="26"/>
      <c r="L9" s="26"/>
      <c r="M9" s="26" t="s">
        <v>100</v>
      </c>
      <c r="N9" s="26">
        <v>593</v>
      </c>
      <c r="O9" s="26"/>
      <c r="P9" s="26" t="s">
        <v>101</v>
      </c>
      <c r="Q9" s="26" t="e">
        <f>#REF!</f>
        <v>#REF!</v>
      </c>
      <c r="R9" s="26"/>
      <c r="S9" s="26" t="s">
        <v>102</v>
      </c>
      <c r="T9" s="26" t="e">
        <f>IF(AI28+T8&gt;36,36,AI28+T8)</f>
        <v>#REF!</v>
      </c>
      <c r="U9" s="26" t="s">
        <v>103</v>
      </c>
      <c r="V9" s="26">
        <f>F204</f>
        <v>6</v>
      </c>
      <c r="W9" s="26" t="s">
        <v>104</v>
      </c>
      <c r="X9" s="26" t="s">
        <v>105</v>
      </c>
      <c r="Y9" s="26"/>
      <c r="Z9" s="26"/>
      <c r="AA9" s="26">
        <v>7</v>
      </c>
      <c r="AB9" s="26">
        <v>0.58499999999999996</v>
      </c>
      <c r="AC9" s="26" t="s">
        <v>58</v>
      </c>
      <c r="AD9" s="26">
        <v>4.4999999999999998E-2</v>
      </c>
      <c r="AE9" s="26" t="s">
        <v>106</v>
      </c>
      <c r="AF9" s="26"/>
      <c r="AG9" s="26"/>
      <c r="AH9" s="26"/>
      <c r="AI9" s="26"/>
      <c r="AJ9" s="26"/>
      <c r="AK9" s="26"/>
      <c r="AL9" s="26"/>
      <c r="AM9" s="26"/>
      <c r="AN9" s="26">
        <v>4</v>
      </c>
      <c r="AO9" s="26" t="s">
        <v>58</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107</v>
      </c>
      <c r="DB9" s="26" t="s">
        <v>108</v>
      </c>
      <c r="DC9" s="26"/>
      <c r="DD9" s="26"/>
      <c r="DE9" s="26" t="s">
        <v>107</v>
      </c>
      <c r="DF9" s="26" t="s">
        <v>108</v>
      </c>
      <c r="DG9" s="26"/>
      <c r="DH9" s="26"/>
      <c r="DI9" s="26"/>
      <c r="DJ9" s="26"/>
      <c r="DK9" s="26"/>
      <c r="DL9" s="26"/>
      <c r="DM9" s="26"/>
      <c r="DN9" s="26"/>
      <c r="DO9" s="26"/>
      <c r="DP9" s="26"/>
      <c r="DQ9" s="26"/>
      <c r="DR9" s="26"/>
      <c r="DS9" s="26"/>
      <c r="DT9" s="26"/>
    </row>
    <row r="10" spans="1:124" ht="15.75" customHeight="1" x14ac:dyDescent="0.25">
      <c r="B10" s="41" t="s">
        <v>109</v>
      </c>
      <c r="C10" s="188" t="e">
        <f>F14</f>
        <v>#N/A</v>
      </c>
      <c r="D10" s="45" t="s">
        <v>110</v>
      </c>
      <c r="E10" s="38"/>
      <c r="F10" s="26"/>
      <c r="G10" s="187" t="s">
        <v>606</v>
      </c>
      <c r="H10" s="26"/>
      <c r="I10" s="26"/>
      <c r="J10" s="26"/>
      <c r="K10" s="26"/>
      <c r="L10" s="26"/>
      <c r="M10" s="26" t="s">
        <v>6</v>
      </c>
      <c r="N10" s="26">
        <f>N7*C14</f>
        <v>0</v>
      </c>
      <c r="O10" s="26"/>
      <c r="P10" s="26" t="s">
        <v>86</v>
      </c>
      <c r="Q10" s="26" t="e">
        <f>G201</f>
        <v>#REF!</v>
      </c>
      <c r="R10" s="26">
        <f>VLOOKUP(INT(AB42),horaa2,AJ17+2,FALSE)*(1)*BC27</f>
        <v>6975.17</v>
      </c>
      <c r="S10" s="26" t="s">
        <v>112</v>
      </c>
      <c r="T10" s="26" t="e">
        <f>VLOOKUP(INT(T9),ofek4,V9+2,FALSE)*(1+AG36/100)*BC27*Y16*Y2</f>
        <v>#REF!</v>
      </c>
      <c r="U10" s="26" t="e">
        <f>VLOOKUP(INT(T9),ofek4,V9+2,FALSE)*(1+AG36/100)*BC27*Y16*Y2</f>
        <v>#REF!</v>
      </c>
      <c r="V10" s="26"/>
      <c r="W10" s="26"/>
      <c r="X10" s="26" t="s">
        <v>113</v>
      </c>
      <c r="Y10" s="26"/>
      <c r="Z10" s="26"/>
      <c r="AA10" s="26">
        <v>8</v>
      </c>
      <c r="AB10" s="26">
        <v>0.6</v>
      </c>
      <c r="AC10" s="26"/>
      <c r="AD10" s="26">
        <v>0</v>
      </c>
      <c r="AE10" s="26" t="s">
        <v>114</v>
      </c>
      <c r="AF10" s="26"/>
      <c r="AG10" s="26"/>
      <c r="AH10" s="26"/>
      <c r="AI10" s="26"/>
      <c r="AJ10" s="26"/>
      <c r="AK10" s="26"/>
      <c r="AL10" s="26"/>
      <c r="AM10" s="26"/>
      <c r="AN10" s="26">
        <v>4.5</v>
      </c>
      <c r="AO10" s="26" t="s">
        <v>58</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115</v>
      </c>
      <c r="CX10" s="26"/>
      <c r="CY10" s="26"/>
      <c r="CZ10" s="26"/>
      <c r="DA10" s="26"/>
      <c r="DB10" s="26"/>
      <c r="DC10" s="26"/>
      <c r="DD10" s="26"/>
      <c r="DE10" s="26"/>
      <c r="DF10" s="26"/>
      <c r="DG10" s="26"/>
      <c r="DH10" s="26"/>
      <c r="DI10" s="26"/>
      <c r="DJ10" s="26"/>
      <c r="DK10" s="26" t="s">
        <v>116</v>
      </c>
      <c r="DL10" s="26"/>
      <c r="DM10" s="26"/>
      <c r="DN10" s="26"/>
      <c r="DO10" s="26"/>
      <c r="DP10" s="26"/>
      <c r="DQ10" s="26"/>
      <c r="DR10" s="26"/>
      <c r="DS10" s="26"/>
      <c r="DT10" s="26"/>
    </row>
    <row r="11" spans="1:124" x14ac:dyDescent="0.25">
      <c r="B11" s="46" t="s">
        <v>32</v>
      </c>
      <c r="C11" s="47">
        <v>0</v>
      </c>
      <c r="D11" s="208" t="s">
        <v>117</v>
      </c>
      <c r="E11" s="209"/>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58</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119</v>
      </c>
      <c r="CR11" s="26"/>
      <c r="CS11" s="26"/>
      <c r="CT11" s="26"/>
      <c r="CU11" s="26"/>
      <c r="CV11" s="26" t="s">
        <v>120</v>
      </c>
      <c r="CW11" s="26" t="s">
        <v>121</v>
      </c>
      <c r="CX11" s="26" t="s">
        <v>122</v>
      </c>
      <c r="CY11" s="26"/>
      <c r="CZ11" s="26" t="s">
        <v>120</v>
      </c>
      <c r="DA11" s="26" t="s">
        <v>121</v>
      </c>
      <c r="DB11" s="26" t="s">
        <v>121</v>
      </c>
      <c r="DC11" s="26"/>
      <c r="DD11" s="26" t="s">
        <v>120</v>
      </c>
      <c r="DE11" s="26" t="s">
        <v>123</v>
      </c>
      <c r="DF11" s="26" t="s">
        <v>123</v>
      </c>
      <c r="DG11" s="26"/>
      <c r="DH11" s="26"/>
      <c r="DI11" s="26"/>
      <c r="DJ11" s="26"/>
      <c r="DK11" s="26" t="s">
        <v>123</v>
      </c>
      <c r="DL11" s="26" t="s">
        <v>121</v>
      </c>
      <c r="DM11" s="26"/>
      <c r="DN11" s="26"/>
      <c r="DO11" s="26"/>
      <c r="DP11" s="26"/>
      <c r="DQ11" s="26"/>
      <c r="DR11" s="26"/>
      <c r="DS11" s="26"/>
      <c r="DT11" s="26"/>
    </row>
    <row r="12" spans="1:124" x14ac:dyDescent="0.25">
      <c r="B12" s="46" t="s">
        <v>3</v>
      </c>
      <c r="C12" s="47">
        <v>0</v>
      </c>
      <c r="D12" s="208" t="s">
        <v>117</v>
      </c>
      <c r="E12" s="209"/>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58</v>
      </c>
      <c r="Z12" s="26"/>
      <c r="AA12" s="26">
        <v>1</v>
      </c>
      <c r="AB12" s="26">
        <v>0.63500000000000001</v>
      </c>
      <c r="AC12" s="26"/>
      <c r="AD12" s="26"/>
      <c r="AE12" s="26"/>
      <c r="AF12" s="26"/>
      <c r="AG12" s="26"/>
      <c r="AH12" s="26"/>
      <c r="AI12" s="26"/>
      <c r="AJ12" s="26"/>
      <c r="AK12" s="26"/>
      <c r="AL12" s="26"/>
      <c r="AM12" s="26"/>
      <c r="AN12" s="26">
        <v>5.5</v>
      </c>
      <c r="AO12" s="26" t="s">
        <v>58</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124</v>
      </c>
      <c r="CA12" s="26" t="s">
        <v>125</v>
      </c>
      <c r="CB12" s="26" t="s">
        <v>10</v>
      </c>
      <c r="CC12" s="26" t="s">
        <v>11</v>
      </c>
      <c r="CD12" s="26" t="s">
        <v>1</v>
      </c>
      <c r="CE12" s="26"/>
      <c r="CF12" s="26"/>
      <c r="CG12" s="26"/>
      <c r="CH12" s="26"/>
      <c r="CI12" s="26"/>
      <c r="CJ12" s="26"/>
      <c r="CK12" s="26"/>
      <c r="CL12" s="26"/>
      <c r="CM12" s="26"/>
      <c r="CN12" s="26"/>
      <c r="CO12" s="26"/>
      <c r="CP12" s="26"/>
      <c r="CQ12" s="26" t="s">
        <v>126</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123</v>
      </c>
      <c r="DI12" s="26"/>
      <c r="DJ12" s="26"/>
      <c r="DK12" s="26"/>
      <c r="DL12" s="26">
        <v>17.899999999999999</v>
      </c>
      <c r="DM12" s="26"/>
      <c r="DN12" s="26"/>
      <c r="DO12" s="26"/>
      <c r="DP12" s="26"/>
      <c r="DQ12" s="26"/>
      <c r="DR12" s="26"/>
      <c r="DS12" s="26"/>
      <c r="DT12" s="26"/>
    </row>
    <row r="13" spans="1:124" x14ac:dyDescent="0.25">
      <c r="A13" s="48"/>
      <c r="B13" s="46" t="s">
        <v>5</v>
      </c>
      <c r="C13" s="47">
        <v>0</v>
      </c>
      <c r="D13" s="208" t="s">
        <v>117</v>
      </c>
      <c r="E13" s="209"/>
      <c r="F13" s="26"/>
      <c r="G13" s="26"/>
      <c r="H13" s="26"/>
      <c r="I13" s="26"/>
      <c r="J13" s="26"/>
      <c r="K13" s="26">
        <f>($I$7+$I$8+$I$10+$I$11+$I$9+500)*1.2%*($C$7)*C9</f>
        <v>0.52500000000000002</v>
      </c>
      <c r="L13" s="26" t="s">
        <v>128</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129</v>
      </c>
      <c r="Y13" s="26">
        <v>0.05</v>
      </c>
      <c r="Z13" s="26"/>
      <c r="AA13" s="26">
        <v>11</v>
      </c>
      <c r="AB13" s="26">
        <v>0.66</v>
      </c>
      <c r="AC13" s="26"/>
      <c r="AD13" s="26" t="s">
        <v>130</v>
      </c>
      <c r="AE13" s="26">
        <v>0</v>
      </c>
      <c r="AF13" s="26"/>
      <c r="AG13" s="26"/>
      <c r="AH13" s="26"/>
      <c r="AI13" s="26"/>
      <c r="AJ13" s="26"/>
      <c r="AK13" s="26"/>
      <c r="AL13" s="26"/>
      <c r="AM13" s="26"/>
      <c r="AN13" s="26">
        <v>6</v>
      </c>
      <c r="AO13" s="26" t="s">
        <v>58</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131</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8" t="s">
        <v>132</v>
      </c>
      <c r="E14" s="209"/>
      <c r="F14" s="26" t="e">
        <f>F16*(F15+1)</f>
        <v>#N/A</v>
      </c>
      <c r="G14" s="26"/>
      <c r="H14" s="26"/>
      <c r="I14" s="26"/>
      <c r="J14" s="26"/>
      <c r="K14" s="26">
        <f>($I$7+$I$8+$I$10+$I$11+$I$9+500)*1.2%*($C$8)*C9</f>
        <v>0.06</v>
      </c>
      <c r="L14" s="26" t="s">
        <v>133</v>
      </c>
      <c r="M14" s="26"/>
      <c r="N14" s="26"/>
      <c r="O14" s="26"/>
      <c r="P14" s="26" t="str">
        <f>IF(C151=0," = הזן  נתונים  מימין ==&gt;",B151)</f>
        <v>הסכם 87</v>
      </c>
      <c r="Q14" s="26">
        <v>0</v>
      </c>
      <c r="R14" s="26">
        <f>Q14</f>
        <v>0</v>
      </c>
      <c r="S14" s="26">
        <f>H12</f>
        <v>0</v>
      </c>
      <c r="T14" s="26">
        <v>0</v>
      </c>
      <c r="U14" s="26"/>
      <c r="V14" s="26"/>
      <c r="W14" s="26"/>
      <c r="X14" s="26" t="s">
        <v>134</v>
      </c>
      <c r="Y14" s="26">
        <v>0.10249999999999999</v>
      </c>
      <c r="Z14" s="26"/>
      <c r="AA14" s="26">
        <v>12</v>
      </c>
      <c r="AB14" s="26">
        <v>0.68</v>
      </c>
      <c r="AC14" s="26"/>
      <c r="AD14" s="26" t="s">
        <v>135</v>
      </c>
      <c r="AE14" s="26">
        <f>AB44</f>
        <v>1</v>
      </c>
      <c r="AF14" s="26"/>
      <c r="AG14" s="26"/>
      <c r="AH14" s="26">
        <v>5</v>
      </c>
      <c r="AI14" s="26"/>
      <c r="AJ14" s="26" t="s">
        <v>136</v>
      </c>
      <c r="AK14" s="26"/>
      <c r="AL14" s="26" t="e">
        <f>#REF!</f>
        <v>#REF!</v>
      </c>
      <c r="AM14" s="26"/>
      <c r="AN14" s="26">
        <v>6.5</v>
      </c>
      <c r="AO14" s="26" t="s">
        <v>58</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137</v>
      </c>
      <c r="CA14" s="26" t="s">
        <v>138</v>
      </c>
      <c r="CB14" s="26" t="s">
        <v>139</v>
      </c>
      <c r="CC14" s="26"/>
      <c r="CD14" s="26"/>
      <c r="CE14" s="26"/>
      <c r="CF14" s="26"/>
      <c r="CG14" s="26" t="s">
        <v>140</v>
      </c>
      <c r="CH14" s="26"/>
      <c r="CI14" s="26"/>
      <c r="CJ14" s="26"/>
      <c r="CK14" s="26" t="s">
        <v>141</v>
      </c>
      <c r="CL14" s="26"/>
      <c r="CM14" s="26"/>
      <c r="CN14" s="26"/>
      <c r="CO14" s="26"/>
      <c r="CP14" s="26"/>
      <c r="CQ14" s="26" t="s">
        <v>142</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143</v>
      </c>
      <c r="C15" s="49">
        <v>0</v>
      </c>
      <c r="D15" s="208" t="s">
        <v>144</v>
      </c>
      <c r="E15" s="209">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58</v>
      </c>
      <c r="AV15" s="26">
        <f>BG61+BG62</f>
        <v>33</v>
      </c>
      <c r="AW15" s="26">
        <f>IF(AW16=0,0,1)</f>
        <v>1</v>
      </c>
      <c r="AX15" s="26"/>
      <c r="AY15" s="26"/>
      <c r="AZ15" s="26" t="s">
        <v>58</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145</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146</v>
      </c>
      <c r="DM15" s="26"/>
      <c r="DN15" s="26"/>
      <c r="DO15" s="26"/>
      <c r="DP15" s="26"/>
      <c r="DQ15" s="26"/>
      <c r="DR15" s="26"/>
      <c r="DS15" s="26"/>
      <c r="DT15" s="26"/>
    </row>
    <row r="16" spans="1:124" ht="18.75" customHeight="1" x14ac:dyDescent="0.25">
      <c r="B16" s="34" t="s">
        <v>147</v>
      </c>
      <c r="C16" s="39">
        <v>1</v>
      </c>
      <c r="D16" s="208" t="s">
        <v>148</v>
      </c>
      <c r="E16" s="209"/>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150</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58</v>
      </c>
      <c r="BA16" s="26">
        <v>14</v>
      </c>
      <c r="BB16" s="26">
        <v>0.312</v>
      </c>
      <c r="BC16" s="26"/>
      <c r="BD16" s="26"/>
      <c r="BE16" s="26"/>
      <c r="BF16" s="26"/>
      <c r="BG16" s="26"/>
      <c r="BH16" s="26"/>
      <c r="BI16" s="26"/>
      <c r="BJ16" s="26"/>
      <c r="BK16" s="26" t="s">
        <v>151</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152</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153</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0</v>
      </c>
      <c r="D17" s="40" t="s">
        <v>154</v>
      </c>
      <c r="E17" s="38"/>
      <c r="F17" s="26"/>
      <c r="G17" s="26"/>
      <c r="H17" s="26"/>
      <c r="I17" s="26"/>
      <c r="J17" s="26"/>
      <c r="K17" s="26"/>
      <c r="L17" s="26"/>
      <c r="M17" s="26"/>
      <c r="N17" s="26"/>
      <c r="O17" s="26"/>
      <c r="P17" s="26" t="s">
        <v>155</v>
      </c>
      <c r="Q17" s="26">
        <v>0</v>
      </c>
      <c r="R17" s="26">
        <f>R10*1.2%*C8</f>
        <v>83.702039999999997</v>
      </c>
      <c r="S17" s="26" t="s">
        <v>155</v>
      </c>
      <c r="T17" s="26">
        <v>0</v>
      </c>
      <c r="U17" s="26"/>
      <c r="V17" s="26"/>
      <c r="W17" s="26"/>
      <c r="X17" s="26"/>
      <c r="Y17" s="26"/>
      <c r="Z17" s="26"/>
      <c r="AA17" s="26" t="s">
        <v>156</v>
      </c>
      <c r="AB17" s="26" t="s">
        <v>70</v>
      </c>
      <c r="AC17" s="26"/>
      <c r="AD17" s="26"/>
      <c r="AE17" s="26"/>
      <c r="AF17" s="26"/>
      <c r="AG17" s="26"/>
      <c r="AH17" s="26">
        <v>67</v>
      </c>
      <c r="AI17" s="26">
        <f>IF(MONTH(J4)=9,1,0)</f>
        <v>0</v>
      </c>
      <c r="AJ17" s="26">
        <f>HLOOKUP(BG59,kothor1,3,FALSE)</f>
        <v>1</v>
      </c>
      <c r="AK17" s="26">
        <f>HLOOKUP(BG59,kothor1,2,FALSE)</f>
        <v>1</v>
      </c>
      <c r="AL17" s="26" t="s">
        <v>157</v>
      </c>
      <c r="AM17" s="26">
        <v>39844</v>
      </c>
      <c r="AN17" s="26">
        <v>8</v>
      </c>
      <c r="AO17" s="26">
        <v>8.5</v>
      </c>
      <c r="AP17" s="26" t="s">
        <v>158</v>
      </c>
      <c r="AQ17" s="26">
        <v>40442</v>
      </c>
      <c r="AR17" s="26"/>
      <c r="AS17" s="26"/>
      <c r="AT17" s="26"/>
      <c r="AU17" s="26" t="e">
        <f>"06/"&amp;MID(AV17,1,4)</f>
        <v>#NUM!</v>
      </c>
      <c r="AV17" s="26" t="e">
        <f>YEAR(AV16+J4)+AW15</f>
        <v>#NUM!</v>
      </c>
      <c r="AW17" s="26" t="s">
        <v>159</v>
      </c>
      <c r="AX17" s="26"/>
      <c r="AY17" s="26"/>
      <c r="AZ17" s="26"/>
      <c r="BA17" s="26">
        <v>15</v>
      </c>
      <c r="BB17" s="26">
        <v>0.33600000000000002</v>
      </c>
      <c r="BC17" s="26"/>
      <c r="BD17" s="26"/>
      <c r="BE17" s="26" t="s">
        <v>160</v>
      </c>
      <c r="BF17" s="26" t="s">
        <v>161</v>
      </c>
      <c r="BG17" s="26" t="s">
        <v>162</v>
      </c>
      <c r="BH17" s="26"/>
      <c r="BI17" s="26"/>
      <c r="BJ17" s="26"/>
      <c r="BK17" s="26" t="s">
        <v>163</v>
      </c>
      <c r="BL17" s="26">
        <f>F159</f>
        <v>0</v>
      </c>
      <c r="BM17" s="26"/>
      <c r="BN17" s="26"/>
      <c r="BO17" s="26"/>
      <c r="BP17" s="26"/>
      <c r="BQ17" s="26" t="s">
        <v>164</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165</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166</v>
      </c>
      <c r="C18" s="190">
        <f>K66</f>
        <v>1</v>
      </c>
      <c r="D18" s="210" t="s">
        <v>154</v>
      </c>
      <c r="E18" s="211"/>
      <c r="F18" s="26" t="s">
        <v>107</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58</v>
      </c>
      <c r="AE18" s="26"/>
      <c r="AF18" s="26" t="e">
        <f>1-#REF!/(#REF!+#REF!)</f>
        <v>#REF!</v>
      </c>
      <c r="AG18" s="26"/>
      <c r="AH18" s="26"/>
      <c r="AI18" s="26"/>
      <c r="AJ18" s="26"/>
      <c r="AK18" s="26"/>
      <c r="AL18" s="26" t="s">
        <v>167</v>
      </c>
      <c r="AM18" s="26">
        <v>39872</v>
      </c>
      <c r="AN18" s="26">
        <v>8.5</v>
      </c>
      <c r="AO18" s="26">
        <v>9</v>
      </c>
      <c r="AP18" s="26"/>
      <c r="AQ18" s="26"/>
      <c r="AR18" s="26"/>
      <c r="AS18" s="26" t="s">
        <v>168</v>
      </c>
      <c r="AT18" s="26"/>
      <c r="AU18" s="26"/>
      <c r="AV18" s="26"/>
      <c r="AW18" s="26"/>
      <c r="AX18" s="26"/>
      <c r="AY18" s="26" t="s">
        <v>169</v>
      </c>
      <c r="AZ18" s="26"/>
      <c r="BA18" s="26">
        <v>16</v>
      </c>
      <c r="BB18" s="26">
        <v>0.36</v>
      </c>
      <c r="BC18" s="26"/>
      <c r="BD18" s="26"/>
      <c r="BE18" s="26" t="s">
        <v>170</v>
      </c>
      <c r="BF18" s="26" t="s">
        <v>170</v>
      </c>
      <c r="BG18" s="26" t="s">
        <v>171</v>
      </c>
      <c r="BH18" s="26" t="s">
        <v>172</v>
      </c>
      <c r="BI18" s="26" t="s">
        <v>173</v>
      </c>
      <c r="BJ18" s="26" t="s">
        <v>174</v>
      </c>
      <c r="BK18" s="26" t="s">
        <v>175</v>
      </c>
      <c r="BL18" s="26"/>
      <c r="BM18" s="26"/>
      <c r="BN18" s="26"/>
      <c r="BO18" s="26"/>
      <c r="BP18" s="26"/>
      <c r="BQ18" s="26">
        <v>1114297</v>
      </c>
      <c r="BR18" s="26"/>
      <c r="BS18" s="26" t="s">
        <v>176</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177</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178</v>
      </c>
      <c r="DM18" s="26"/>
      <c r="DN18" s="26"/>
      <c r="DO18" s="26"/>
      <c r="DP18" s="26"/>
      <c r="DQ18" s="26"/>
      <c r="DR18" s="26"/>
      <c r="DS18" s="26"/>
      <c r="DT18" s="26"/>
    </row>
    <row r="19" spans="2:124" x14ac:dyDescent="0.25">
      <c r="B19" s="34" t="s">
        <v>179</v>
      </c>
      <c r="C19" s="35" t="s">
        <v>107</v>
      </c>
      <c r="D19" s="208" t="s">
        <v>180</v>
      </c>
      <c r="E19" s="209"/>
      <c r="F19" s="26" t="s">
        <v>181</v>
      </c>
      <c r="G19" s="26" t="s">
        <v>182</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58</v>
      </c>
      <c r="W19" s="26">
        <v>1</v>
      </c>
      <c r="X19" s="26"/>
      <c r="Y19" s="26"/>
      <c r="Z19" s="26"/>
      <c r="AA19" s="26" t="s">
        <v>183</v>
      </c>
      <c r="AB19" s="26">
        <v>5</v>
      </c>
      <c r="AC19" s="26"/>
      <c r="AD19" s="26"/>
      <c r="AE19" s="26" t="s">
        <v>58</v>
      </c>
      <c r="AF19" s="26" t="s">
        <v>58</v>
      </c>
      <c r="AG19" s="26" t="s">
        <v>184</v>
      </c>
      <c r="AH19" s="26"/>
      <c r="AI19" s="26"/>
      <c r="AJ19" s="26"/>
      <c r="AK19" s="26"/>
      <c r="AL19" s="26" t="s">
        <v>185</v>
      </c>
      <c r="AM19" s="26">
        <v>39903</v>
      </c>
      <c r="AN19" s="26">
        <v>9</v>
      </c>
      <c r="AO19" s="26" t="s">
        <v>186</v>
      </c>
      <c r="AP19" s="26" t="s">
        <v>101</v>
      </c>
      <c r="AQ19" s="26" t="s">
        <v>187</v>
      </c>
      <c r="AR19" s="26">
        <f>'[1]נתוני מס'!I22</f>
        <v>395</v>
      </c>
      <c r="AS19" s="26">
        <v>10</v>
      </c>
      <c r="AT19" s="26"/>
      <c r="AU19" s="26" t="s">
        <v>188</v>
      </c>
      <c r="AV19" s="26"/>
      <c r="AW19" s="26"/>
      <c r="AX19" s="26"/>
      <c r="AY19" s="26">
        <f>AQ20</f>
        <v>21262</v>
      </c>
      <c r="AZ19" s="26" t="s">
        <v>189</v>
      </c>
      <c r="BA19" s="26" t="s">
        <v>190</v>
      </c>
      <c r="BB19" s="26">
        <f>VLOOKUP(BG69,nihool,2,FALSE)</f>
        <v>0</v>
      </c>
      <c r="BC19" s="26"/>
      <c r="BD19" s="26"/>
      <c r="BE19" s="26" t="s">
        <v>175</v>
      </c>
      <c r="BF19" s="26" t="s">
        <v>191</v>
      </c>
      <c r="BG19" s="26" t="e">
        <f>#REF!/12</f>
        <v>#REF!</v>
      </c>
      <c r="BH19" s="26" t="e">
        <f>#REF!</f>
        <v>#REF!</v>
      </c>
      <c r="BI19" s="26" t="e">
        <f>#REF!/12-BJ102</f>
        <v>#REF!</v>
      </c>
      <c r="BJ19" s="26" t="e">
        <f>(12*(F222-Q26)+BG77)/12</f>
        <v>#REF!</v>
      </c>
      <c r="BK19" s="26" t="e">
        <f>(#REF!*((12-BJ31/12))+BG77/12*BJ32)/12+F159+BJ20*((12-BJ32)/12)</f>
        <v>#REF!</v>
      </c>
      <c r="BL19" s="26"/>
      <c r="BM19" s="26"/>
      <c r="BN19" s="26" t="s">
        <v>192</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193</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179</v>
      </c>
      <c r="C20" s="35" t="s">
        <v>182</v>
      </c>
      <c r="D20" s="208" t="s">
        <v>194</v>
      </c>
      <c r="E20" s="209"/>
      <c r="F20" s="26"/>
      <c r="G20" s="26" t="s">
        <v>195</v>
      </c>
      <c r="H20" s="26"/>
      <c r="I20" s="26"/>
      <c r="J20" s="26"/>
      <c r="K20" s="26"/>
      <c r="L20" s="26"/>
      <c r="M20" s="26"/>
      <c r="N20" s="26"/>
      <c r="O20" s="26" t="e">
        <f>D155*C9</f>
        <v>#N/A</v>
      </c>
      <c r="P20" s="26" t="s">
        <v>100</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196</v>
      </c>
      <c r="AB20" s="26" t="s">
        <v>70</v>
      </c>
      <c r="AC20" s="26"/>
      <c r="AD20" s="26" t="s">
        <v>197</v>
      </c>
      <c r="AE20" s="26" t="s">
        <v>58</v>
      </c>
      <c r="AF20" s="26" t="s">
        <v>58</v>
      </c>
      <c r="AG20" s="26" t="s">
        <v>198</v>
      </c>
      <c r="AH20" s="26"/>
      <c r="AI20" s="26"/>
      <c r="AJ20" s="26" t="s">
        <v>199</v>
      </c>
      <c r="AK20" s="26"/>
      <c r="AL20" s="26" t="s">
        <v>200</v>
      </c>
      <c r="AM20" s="26">
        <v>39933</v>
      </c>
      <c r="AN20" s="26"/>
      <c r="AO20" s="26"/>
      <c r="AP20" s="26" t="s">
        <v>189</v>
      </c>
      <c r="AQ20" s="26">
        <v>21262</v>
      </c>
      <c r="AR20" s="26"/>
      <c r="AS20" s="26" t="s">
        <v>201</v>
      </c>
      <c r="AT20" s="26"/>
      <c r="AU20" s="26">
        <v>0</v>
      </c>
      <c r="AV20" s="26"/>
      <c r="AW20" s="26"/>
      <c r="AX20" s="26"/>
      <c r="AY20" s="26"/>
      <c r="AZ20" s="26"/>
      <c r="BA20" s="26" t="s">
        <v>202</v>
      </c>
      <c r="BB20" s="26">
        <f>VLOOKUP(B168,nihool,2,FALSE)</f>
        <v>0</v>
      </c>
      <c r="BC20" s="26"/>
      <c r="BD20" s="26"/>
      <c r="BE20" s="26" t="e">
        <f>#REF!/12/#REF!+#REF!+F159-BJ102</f>
        <v>#REF!</v>
      </c>
      <c r="BF20" s="26" t="e">
        <f>#REF!/12+#REF!+F159-BJ102</f>
        <v>#REF!</v>
      </c>
      <c r="BG20" s="26" t="s">
        <v>203</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204</v>
      </c>
      <c r="BV20" s="26"/>
      <c r="BW20" s="26"/>
      <c r="BX20" s="26"/>
      <c r="BY20" s="26"/>
      <c r="BZ20" s="26" t="s">
        <v>205</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206</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207</v>
      </c>
      <c r="C21" s="190" t="str">
        <f>G3</f>
        <v>מנהל אקדמאי קיים</v>
      </c>
      <c r="D21" s="212" t="s">
        <v>208</v>
      </c>
      <c r="E21" s="213"/>
      <c r="F21" s="26"/>
      <c r="G21" s="26"/>
      <c r="H21" s="26"/>
      <c r="I21" s="26"/>
      <c r="J21" s="26"/>
      <c r="K21" s="26" t="s">
        <v>210</v>
      </c>
      <c r="L21" s="26"/>
      <c r="M21" s="26"/>
      <c r="N21" s="26"/>
      <c r="O21" s="26">
        <f>N21*C9</f>
        <v>0</v>
      </c>
      <c r="P21" s="26" t="s">
        <v>209</v>
      </c>
      <c r="Q21" s="26" t="e">
        <f>BB19*Q20</f>
        <v>#REF!</v>
      </c>
      <c r="R21" s="26">
        <f>BB19*R20</f>
        <v>0</v>
      </c>
      <c r="S21" s="26" t="e">
        <f>#REF!</f>
        <v>#REF!</v>
      </c>
      <c r="T21" s="26" t="e">
        <f>U21*T20</f>
        <v>#REF!</v>
      </c>
      <c r="U21" s="26">
        <f>IF(BB19=0,0,IF((BB19+V21)&gt;36%,36%,BB19+V21))</f>
        <v>0</v>
      </c>
      <c r="V21" s="26" t="e">
        <f>(G179-T7)*2.4%</f>
        <v>#REF!</v>
      </c>
      <c r="W21" s="26"/>
      <c r="X21" s="26"/>
      <c r="Y21" s="26"/>
      <c r="Z21" s="26"/>
      <c r="AA21" s="26" t="s">
        <v>211</v>
      </c>
      <c r="AB21" s="26" t="s">
        <v>199</v>
      </c>
      <c r="AC21" s="26"/>
      <c r="AD21" s="26" t="s">
        <v>27</v>
      </c>
      <c r="AE21" s="26" t="s">
        <v>58</v>
      </c>
      <c r="AF21" s="26" t="s">
        <v>58</v>
      </c>
      <c r="AG21" s="26" t="s">
        <v>212</v>
      </c>
      <c r="AH21" s="26"/>
      <c r="AI21" s="26"/>
      <c r="AJ21" s="26"/>
      <c r="AK21" s="26"/>
      <c r="AL21" s="26" t="s">
        <v>213</v>
      </c>
      <c r="AM21" s="26">
        <v>39964</v>
      </c>
      <c r="AN21" s="26"/>
      <c r="AO21" s="26"/>
      <c r="AP21" s="26" t="s">
        <v>214</v>
      </c>
      <c r="AQ21" s="26" t="s">
        <v>215</v>
      </c>
      <c r="AR21" s="26"/>
      <c r="AS21" s="26">
        <v>11</v>
      </c>
      <c r="AT21" s="26"/>
      <c r="AU21" s="26">
        <v>0.5</v>
      </c>
      <c r="AV21" s="26"/>
      <c r="AW21" s="26"/>
      <c r="AX21" s="26" t="s">
        <v>58</v>
      </c>
      <c r="AY21" s="26">
        <v>17288</v>
      </c>
      <c r="AZ21" s="26">
        <v>17288</v>
      </c>
      <c r="BA21" s="26"/>
      <c r="BB21" s="26" t="s">
        <v>216</v>
      </c>
      <c r="BC21" s="26"/>
      <c r="BD21" s="26"/>
      <c r="BE21" s="26" t="s">
        <v>217</v>
      </c>
      <c r="BF21" s="26"/>
      <c r="BG21" s="26"/>
      <c r="BH21" s="26" t="s">
        <v>218</v>
      </c>
      <c r="BI21" s="26" t="s">
        <v>219</v>
      </c>
      <c r="BJ21" s="26" t="s">
        <v>172</v>
      </c>
      <c r="BK21" s="26" t="s">
        <v>220</v>
      </c>
      <c r="BL21" s="26" t="s">
        <v>221</v>
      </c>
      <c r="BM21" s="26" t="s">
        <v>222</v>
      </c>
      <c r="BN21" s="26" t="s">
        <v>223</v>
      </c>
      <c r="BO21" s="26"/>
      <c r="BP21" s="26" t="s">
        <v>224</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225</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226</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210</v>
      </c>
      <c r="L22" s="26"/>
      <c r="M22" s="26"/>
      <c r="N22" s="26"/>
      <c r="O22" s="26">
        <f>J23</f>
        <v>0</v>
      </c>
      <c r="P22" s="26" t="s">
        <v>227</v>
      </c>
      <c r="Q22" s="26" t="e">
        <f>AB16*Q10</f>
        <v>#REF!</v>
      </c>
      <c r="R22" s="26">
        <f>AB16*R10</f>
        <v>0</v>
      </c>
      <c r="S22" s="26" t="e">
        <f>#REF!</f>
        <v>#REF!</v>
      </c>
      <c r="T22" s="26" t="e">
        <f>U22*T10</f>
        <v>#REF!</v>
      </c>
      <c r="U22" s="26">
        <f>VLOOKUP(INT(V22),ghad1,2,FALSE)</f>
        <v>0</v>
      </c>
      <c r="V22" s="26">
        <f>IF(AB16=0,0,IF(60-T7+BG70&gt;13,13,60-T7+BG70))</f>
        <v>0</v>
      </c>
      <c r="W22" s="26" t="s">
        <v>228</v>
      </c>
      <c r="X22" s="26">
        <f>IF(C39=16%,IF(OR(C5=CB16,C5=CC16,C5=CD16),0.8,0.9),0.8)</f>
        <v>0.8</v>
      </c>
      <c r="Y22" s="26"/>
      <c r="Z22" s="26"/>
      <c r="AA22" s="26" t="s">
        <v>229</v>
      </c>
      <c r="AB22" s="26"/>
      <c r="AC22" s="26"/>
      <c r="AD22" s="26"/>
      <c r="AE22" s="26" t="s">
        <v>58</v>
      </c>
      <c r="AF22" s="26" t="s">
        <v>58</v>
      </c>
      <c r="AG22" s="26" t="s">
        <v>230</v>
      </c>
      <c r="AH22" s="26" t="s">
        <v>58</v>
      </c>
      <c r="AI22" s="26"/>
      <c r="AJ22" s="26" t="s">
        <v>231</v>
      </c>
      <c r="AK22" s="26"/>
      <c r="AL22" s="26" t="s">
        <v>232</v>
      </c>
      <c r="AM22" s="26">
        <v>39994</v>
      </c>
      <c r="AN22" s="26"/>
      <c r="AO22" s="26"/>
      <c r="AP22" s="26" t="s">
        <v>233</v>
      </c>
      <c r="AQ22" s="26">
        <v>28734</v>
      </c>
      <c r="AR22" s="26"/>
      <c r="AS22" s="26" t="s">
        <v>234</v>
      </c>
      <c r="AT22" s="26"/>
      <c r="AU22" s="26">
        <v>1</v>
      </c>
      <c r="AV22" s="26"/>
      <c r="AW22" s="26"/>
      <c r="AX22" s="26" t="s">
        <v>58</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235</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236</v>
      </c>
      <c r="DM22" s="26"/>
      <c r="DN22" s="26"/>
      <c r="DO22" s="26"/>
      <c r="DP22" s="26"/>
      <c r="DQ22" s="26"/>
      <c r="DR22" s="26"/>
      <c r="DS22" s="26"/>
      <c r="DT22" s="26"/>
    </row>
    <row r="23" spans="2:124" ht="15.75" customHeight="1" thickBot="1" x14ac:dyDescent="0.3">
      <c r="B23" s="26"/>
      <c r="D23" s="53" t="s">
        <v>107</v>
      </c>
      <c r="F23" s="26"/>
      <c r="G23" s="26"/>
      <c r="H23" s="26"/>
      <c r="I23" s="26"/>
      <c r="J23" s="26"/>
      <c r="K23" s="26" t="s">
        <v>210</v>
      </c>
      <c r="L23" s="26"/>
      <c r="M23" s="26"/>
      <c r="N23" s="26"/>
      <c r="O23" s="26">
        <v>0</v>
      </c>
      <c r="P23" s="26" t="s">
        <v>237</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238</v>
      </c>
      <c r="AA23" s="26"/>
      <c r="AB23" s="26">
        <v>0</v>
      </c>
      <c r="AC23" s="26"/>
      <c r="AD23" s="26"/>
      <c r="AE23" s="26" t="s">
        <v>58</v>
      </c>
      <c r="AF23" s="26" t="s">
        <v>239</v>
      </c>
      <c r="AG23" s="26" t="s">
        <v>240</v>
      </c>
      <c r="AH23" s="26"/>
      <c r="AI23" s="26"/>
      <c r="AJ23" s="26" t="s">
        <v>241</v>
      </c>
      <c r="AK23" s="26">
        <v>389</v>
      </c>
      <c r="AL23" s="26" t="s">
        <v>242</v>
      </c>
      <c r="AM23" s="26">
        <v>40025</v>
      </c>
      <c r="AN23" s="26"/>
      <c r="AO23" s="26"/>
      <c r="AP23" s="26">
        <v>16</v>
      </c>
      <c r="AQ23" s="26">
        <v>11</v>
      </c>
      <c r="AR23" s="26"/>
      <c r="AS23" s="26">
        <v>12</v>
      </c>
      <c r="AT23" s="26"/>
      <c r="AU23" s="26">
        <v>1.5</v>
      </c>
      <c r="AV23" s="26"/>
      <c r="AW23" s="26"/>
      <c r="AX23" s="26" t="s">
        <v>58</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243</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153</v>
      </c>
      <c r="DL23" s="26" t="s">
        <v>244</v>
      </c>
      <c r="DM23" s="26"/>
      <c r="DN23" s="26"/>
      <c r="DO23" s="26"/>
      <c r="DP23" s="26"/>
      <c r="DQ23" s="26"/>
      <c r="DR23" s="26"/>
      <c r="DS23" s="26"/>
      <c r="DT23" s="26"/>
    </row>
    <row r="24" spans="2:124" ht="15.75" customHeight="1" thickBot="1" x14ac:dyDescent="0.35">
      <c r="B24" s="26"/>
      <c r="C24" s="55" t="s">
        <v>245</v>
      </c>
      <c r="D24" s="55" t="s">
        <v>246</v>
      </c>
      <c r="E24" s="55" t="s">
        <v>247</v>
      </c>
      <c r="F24" s="56" t="s">
        <v>248</v>
      </c>
      <c r="G24" s="26"/>
      <c r="H24" s="26"/>
      <c r="I24" s="26"/>
      <c r="J24" s="26"/>
      <c r="K24" s="26" t="s">
        <v>210</v>
      </c>
      <c r="L24" s="26"/>
      <c r="M24" s="26"/>
      <c r="N24" s="26">
        <f>I25</f>
        <v>0</v>
      </c>
      <c r="O24" s="26">
        <f>J25</f>
        <v>0</v>
      </c>
      <c r="P24" s="26" t="s">
        <v>249</v>
      </c>
      <c r="Q24" s="26" t="e">
        <f>Q5*BG72</f>
        <v>#REF!</v>
      </c>
      <c r="R24" s="26">
        <f>Q25</f>
        <v>0</v>
      </c>
      <c r="S24" s="26" t="s">
        <v>250</v>
      </c>
      <c r="T24" s="26" t="e">
        <f>T5*BG72</f>
        <v>#REF!</v>
      </c>
      <c r="U24" s="26"/>
      <c r="V24" s="26"/>
      <c r="W24" s="26"/>
      <c r="X24" s="26" t="s">
        <v>251</v>
      </c>
      <c r="Y24" s="26"/>
      <c r="Z24" s="26"/>
      <c r="AA24" s="26"/>
      <c r="AB24" s="26"/>
      <c r="AC24" s="26"/>
      <c r="AD24" s="26"/>
      <c r="AE24" s="26" t="s">
        <v>58</v>
      </c>
      <c r="AF24" s="26"/>
      <c r="AG24" s="26" t="s">
        <v>58</v>
      </c>
      <c r="AH24" s="26"/>
      <c r="AI24" s="26"/>
      <c r="AJ24" s="26" t="s">
        <v>252</v>
      </c>
      <c r="AK24" s="26">
        <v>0.59709999999999996</v>
      </c>
      <c r="AL24" s="26" t="s">
        <v>253</v>
      </c>
      <c r="AM24" s="26">
        <v>40056</v>
      </c>
      <c r="AN24" s="26"/>
      <c r="AO24" s="26"/>
      <c r="AP24" s="26">
        <v>20</v>
      </c>
      <c r="AQ24" s="26">
        <v>12</v>
      </c>
      <c r="AR24" s="26"/>
      <c r="AS24" s="26" t="s">
        <v>254</v>
      </c>
      <c r="AT24" s="26" t="s">
        <v>255</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256</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257</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258</v>
      </c>
      <c r="DL24" s="26" t="s">
        <v>259</v>
      </c>
      <c r="DM24" s="26"/>
      <c r="DN24" s="26"/>
      <c r="DO24" s="26"/>
      <c r="DP24" s="26"/>
      <c r="DQ24" s="26"/>
      <c r="DR24" s="26"/>
      <c r="DS24" s="26"/>
      <c r="DT24" s="26"/>
    </row>
    <row r="25" spans="2:124" ht="15" customHeight="1" x14ac:dyDescent="0.25">
      <c r="B25" s="57" t="s">
        <v>260</v>
      </c>
      <c r="C25" s="57">
        <v>0</v>
      </c>
      <c r="D25" s="57">
        <v>0</v>
      </c>
      <c r="E25" s="57">
        <v>0</v>
      </c>
      <c r="F25" s="58">
        <f>SUM(C25:E25)</f>
        <v>0</v>
      </c>
      <c r="G25" s="26" t="s">
        <v>261</v>
      </c>
      <c r="H25" s="26"/>
      <c r="I25" s="26"/>
      <c r="J25" s="26"/>
      <c r="K25" s="26" t="s">
        <v>210</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262</v>
      </c>
      <c r="Y25" s="26"/>
      <c r="Z25" s="26"/>
      <c r="AA25" s="26"/>
      <c r="AB25" s="26"/>
      <c r="AC25" s="26">
        <v>40147</v>
      </c>
      <c r="AD25" s="26"/>
      <c r="AE25" s="26" t="s">
        <v>263</v>
      </c>
      <c r="AF25" s="26" t="e">
        <f>IF(BF50&lt;60,MIN(BA43:BA45),0)</f>
        <v>#REF!</v>
      </c>
      <c r="AG25" s="26"/>
      <c r="AH25" s="26"/>
      <c r="AI25" s="26"/>
      <c r="AJ25" s="26" t="s">
        <v>264</v>
      </c>
      <c r="AK25" s="26">
        <v>40574</v>
      </c>
      <c r="AL25" s="26" t="s">
        <v>150</v>
      </c>
      <c r="AM25" s="26">
        <v>40086</v>
      </c>
      <c r="AN25" s="26"/>
      <c r="AO25" s="26"/>
      <c r="AP25" s="26">
        <v>25</v>
      </c>
      <c r="AQ25" s="26">
        <v>13</v>
      </c>
      <c r="AR25" s="26"/>
      <c r="AS25" s="26">
        <v>13</v>
      </c>
      <c r="AT25" s="26">
        <v>34</v>
      </c>
      <c r="AU25" s="26">
        <v>2.5</v>
      </c>
      <c r="AV25" s="26"/>
      <c r="AW25" s="26"/>
      <c r="AX25" s="26"/>
      <c r="AY25" s="26">
        <v>18994</v>
      </c>
      <c r="AZ25" s="26">
        <v>18994</v>
      </c>
      <c r="BA25" s="26"/>
      <c r="BB25" s="26" t="s">
        <v>137</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265</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266</v>
      </c>
      <c r="DL25" s="26" t="s">
        <v>267</v>
      </c>
      <c r="DM25" s="26"/>
      <c r="DN25" s="26"/>
      <c r="DO25" s="26"/>
      <c r="DP25" s="26"/>
      <c r="DQ25" s="26"/>
      <c r="DR25" s="26"/>
      <c r="DS25" s="26"/>
      <c r="DT25" s="26"/>
    </row>
    <row r="26" spans="2:124" ht="18.75" customHeight="1" x14ac:dyDescent="0.25">
      <c r="B26" s="51" t="s">
        <v>268</v>
      </c>
      <c r="C26" s="54">
        <f>C25*1</f>
        <v>0</v>
      </c>
      <c r="D26" s="54">
        <f>D25*1.1</f>
        <v>0</v>
      </c>
      <c r="E26" s="54">
        <f>E25*2</f>
        <v>0</v>
      </c>
      <c r="F26" s="59">
        <f>SUM(C26:E26)</f>
        <v>0</v>
      </c>
      <c r="G26" s="26" t="s">
        <v>269</v>
      </c>
      <c r="H26" s="26"/>
      <c r="I26" s="26"/>
      <c r="J26" s="26"/>
      <c r="K26" s="26"/>
      <c r="L26" s="26"/>
      <c r="M26" s="26"/>
      <c r="N26" s="26"/>
      <c r="O26" s="26"/>
      <c r="P26" s="26"/>
      <c r="Q26" s="26" t="e">
        <f>SUM(Q10:Q25)</f>
        <v>#REF!</v>
      </c>
      <c r="R26" s="26">
        <f>SUM(R10:R24)*'[1]נתוני מס'!L22*(1+'[1]נתוני מס'!L23)</f>
        <v>370.72618239809862</v>
      </c>
      <c r="S26" s="26" t="s">
        <v>270</v>
      </c>
      <c r="T26" s="26" t="e">
        <f>SUM(T10:T25)</f>
        <v>#REF!</v>
      </c>
      <c r="U26" s="26"/>
      <c r="V26" s="26"/>
      <c r="W26" s="26"/>
      <c r="X26" s="26"/>
      <c r="Y26" s="26"/>
      <c r="Z26" s="26"/>
      <c r="AA26" s="26"/>
      <c r="AB26" s="26"/>
      <c r="AC26" s="26">
        <v>147.53</v>
      </c>
      <c r="AD26" s="26"/>
      <c r="AE26" s="26"/>
      <c r="AF26" s="26"/>
      <c r="AG26" s="26"/>
      <c r="AH26" s="26"/>
      <c r="AI26" s="26"/>
      <c r="AJ26" s="26" t="s">
        <v>215</v>
      </c>
      <c r="AK26" s="26"/>
      <c r="AL26" s="26" t="s">
        <v>271</v>
      </c>
      <c r="AM26" s="26">
        <v>40117</v>
      </c>
      <c r="AN26" s="26"/>
      <c r="AO26" s="26"/>
      <c r="AP26" s="26"/>
      <c r="AQ26" s="26"/>
      <c r="AR26" s="26"/>
      <c r="AS26" s="26" t="s">
        <v>272</v>
      </c>
      <c r="AT26" s="26" t="s">
        <v>273</v>
      </c>
      <c r="AU26" s="26">
        <v>3</v>
      </c>
      <c r="AV26" s="26"/>
      <c r="AW26" s="26"/>
      <c r="AX26" s="26"/>
      <c r="AY26" s="26">
        <v>19238</v>
      </c>
      <c r="AZ26" s="26">
        <v>19238</v>
      </c>
      <c r="BA26" s="26"/>
      <c r="BB26" s="26" t="s">
        <v>274</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223</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275</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267</v>
      </c>
      <c r="DM26" s="26"/>
      <c r="DN26" s="26"/>
      <c r="DO26" s="26"/>
      <c r="DP26" s="26"/>
      <c r="DQ26" s="26"/>
      <c r="DR26" s="26"/>
      <c r="DS26" s="26"/>
      <c r="DT26" s="26"/>
    </row>
    <row r="27" spans="2:124" ht="23.25" customHeight="1" thickBot="1" x14ac:dyDescent="0.3">
      <c r="C27" s="60"/>
      <c r="D27" s="60" t="s">
        <v>181</v>
      </c>
      <c r="E27" s="60"/>
      <c r="G27" s="26"/>
      <c r="H27" s="26"/>
      <c r="I27" s="26"/>
      <c r="J27" s="26"/>
      <c r="K27" s="26"/>
      <c r="L27" s="26"/>
      <c r="M27" s="26"/>
      <c r="N27" s="26"/>
      <c r="O27" s="26"/>
      <c r="P27" s="26"/>
      <c r="Q27" s="26"/>
      <c r="R27" s="26">
        <f>SUM(R10:R26)</f>
        <v>8258.5172972512592</v>
      </c>
      <c r="S27" s="26" t="s">
        <v>278</v>
      </c>
      <c r="T27" s="26" t="e">
        <f>(T26*V8+D234*H193)/T9</f>
        <v>#REF!</v>
      </c>
      <c r="U27" s="26" t="s">
        <v>58</v>
      </c>
      <c r="V27" s="26"/>
      <c r="W27" s="26"/>
      <c r="X27" s="26"/>
      <c r="Y27" s="26"/>
      <c r="Z27" s="26"/>
      <c r="AA27" s="26"/>
      <c r="AB27" s="26"/>
      <c r="AC27" s="26"/>
      <c r="AD27" s="26"/>
      <c r="AE27" s="26" t="s">
        <v>274</v>
      </c>
      <c r="AF27" s="26">
        <f>YEAR(AK25)-YEAR(J4)+BC26</f>
        <v>144</v>
      </c>
      <c r="AG27" s="26"/>
      <c r="AH27" s="26"/>
      <c r="AI27" s="26" t="s">
        <v>279</v>
      </c>
      <c r="AJ27" s="26" t="s">
        <v>280</v>
      </c>
      <c r="AK27" s="26" t="s">
        <v>281</v>
      </c>
      <c r="AL27" s="26" t="s">
        <v>282</v>
      </c>
      <c r="AM27" s="26">
        <v>40147</v>
      </c>
      <c r="AN27" s="26"/>
      <c r="AO27" s="26"/>
      <c r="AP27" s="26"/>
      <c r="AQ27" s="26" t="s">
        <v>58</v>
      </c>
      <c r="AR27" s="26">
        <f>VLOOKUP(AF27,__HAV2,2,TRUE)</f>
        <v>13</v>
      </c>
      <c r="AS27" s="26">
        <v>14</v>
      </c>
      <c r="AT27" s="26">
        <v>35</v>
      </c>
      <c r="AU27" s="26"/>
      <c r="AV27" s="26"/>
      <c r="AW27" s="26"/>
      <c r="AX27" s="26"/>
      <c r="AY27" s="26">
        <v>19480</v>
      </c>
      <c r="AZ27" s="26">
        <v>19480</v>
      </c>
      <c r="BA27" s="26" t="s">
        <v>283</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284</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285</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267</v>
      </c>
      <c r="DM27" s="26"/>
      <c r="DN27" s="26"/>
      <c r="DO27" s="26"/>
      <c r="DP27" s="26"/>
      <c r="DQ27" s="26"/>
      <c r="DR27" s="26"/>
      <c r="DS27" s="26"/>
      <c r="DT27" s="26"/>
    </row>
    <row r="28" spans="2:124" ht="15" customHeight="1" thickBot="1" x14ac:dyDescent="0.35">
      <c r="C28" s="55" t="s">
        <v>286</v>
      </c>
      <c r="D28" s="55" t="s">
        <v>287</v>
      </c>
      <c r="E28" s="55" t="s">
        <v>288</v>
      </c>
      <c r="F28" s="56" t="s">
        <v>248</v>
      </c>
      <c r="G28" s="26"/>
      <c r="H28" s="26"/>
      <c r="I28" s="26"/>
      <c r="J28" s="26"/>
      <c r="K28" s="26"/>
      <c r="L28" s="26"/>
      <c r="M28" s="26"/>
      <c r="N28" s="26"/>
      <c r="O28" s="26" t="s">
        <v>276</v>
      </c>
      <c r="P28" s="26">
        <f>I27+I21</f>
        <v>0</v>
      </c>
      <c r="Q28" s="26">
        <f>J27+J21</f>
        <v>0</v>
      </c>
      <c r="R28" s="26"/>
      <c r="S28" s="26"/>
      <c r="T28" s="26"/>
      <c r="U28" s="26"/>
      <c r="V28" s="26"/>
      <c r="W28" s="26"/>
      <c r="X28" s="26"/>
      <c r="Y28" s="26"/>
      <c r="Z28" s="26"/>
      <c r="AA28" s="26"/>
      <c r="AB28" s="26"/>
      <c r="AC28" s="26">
        <v>164.07</v>
      </c>
      <c r="AD28" s="26"/>
      <c r="AE28" s="26" t="s">
        <v>291</v>
      </c>
      <c r="AF28" s="26">
        <f>BC24</f>
        <v>33</v>
      </c>
      <c r="AG28" s="26"/>
      <c r="AH28" s="26" t="s">
        <v>190</v>
      </c>
      <c r="AI28" s="26">
        <f>IF(BC24&gt;AF29,AF29,BC24)</f>
        <v>33</v>
      </c>
      <c r="AJ28" s="26" t="e">
        <f>IF(AB21=#REF!,1.5*AK28,1*AK28)</f>
        <v>#REF!</v>
      </c>
      <c r="AK28" s="26">
        <f>IF(AB21=AJ20,1,IF(BC24&gt;30,0.75,1))</f>
        <v>1</v>
      </c>
      <c r="AL28" s="26" t="s">
        <v>292</v>
      </c>
      <c r="AM28" s="26">
        <v>40178</v>
      </c>
      <c r="AN28" s="26"/>
      <c r="AO28" s="26"/>
      <c r="AP28" s="26"/>
      <c r="AQ28" s="26"/>
      <c r="AR28" s="26"/>
      <c r="AS28" s="26" t="s">
        <v>293</v>
      </c>
      <c r="AT28" s="26" t="s">
        <v>294</v>
      </c>
      <c r="AU28" s="26"/>
      <c r="AV28" s="26"/>
      <c r="AW28" s="26"/>
      <c r="AX28" s="26"/>
      <c r="AY28" s="26"/>
      <c r="AZ28" s="26"/>
      <c r="BA28" s="26"/>
      <c r="BB28" s="26" t="s">
        <v>58</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295</v>
      </c>
      <c r="CR28" s="26"/>
      <c r="CS28" s="26"/>
      <c r="CT28" s="26"/>
      <c r="CU28" s="26"/>
      <c r="CV28" s="26">
        <v>17</v>
      </c>
      <c r="CW28" s="26">
        <v>59.6</v>
      </c>
      <c r="CX28" s="26"/>
      <c r="CY28" s="26"/>
      <c r="CZ28" s="26">
        <v>17</v>
      </c>
      <c r="DA28" s="26">
        <v>47</v>
      </c>
      <c r="DB28" s="26">
        <v>56.14</v>
      </c>
      <c r="DC28" s="26"/>
      <c r="DD28" s="26">
        <v>17</v>
      </c>
      <c r="DE28" s="26">
        <v>26.4</v>
      </c>
      <c r="DF28" s="26">
        <v>28.2</v>
      </c>
      <c r="DG28" s="26"/>
      <c r="DH28" s="26" t="s">
        <v>296</v>
      </c>
      <c r="DI28" s="26"/>
      <c r="DJ28" s="26"/>
      <c r="DK28" s="26" t="s">
        <v>297</v>
      </c>
      <c r="DL28" s="26" t="s">
        <v>267</v>
      </c>
      <c r="DM28" s="26"/>
      <c r="DN28" s="26"/>
      <c r="DO28" s="26"/>
      <c r="DP28" s="26"/>
      <c r="DQ28" s="26"/>
      <c r="DR28" s="26"/>
      <c r="DS28" s="26"/>
      <c r="DT28" s="26"/>
    </row>
    <row r="29" spans="2:124" ht="14.25" customHeight="1" x14ac:dyDescent="0.25">
      <c r="B29" s="35" t="s">
        <v>260</v>
      </c>
      <c r="C29" s="35">
        <v>15</v>
      </c>
      <c r="D29" s="35">
        <v>0</v>
      </c>
      <c r="E29" s="35">
        <v>0</v>
      </c>
      <c r="F29" s="60">
        <f>SUM(C29:E29)</f>
        <v>15</v>
      </c>
      <c r="G29" s="26"/>
      <c r="H29" s="26"/>
      <c r="I29" s="26"/>
      <c r="J29" s="26"/>
      <c r="K29" s="26"/>
      <c r="L29" s="26"/>
      <c r="M29" s="26"/>
      <c r="N29" s="26"/>
      <c r="O29" s="26" t="s">
        <v>289</v>
      </c>
      <c r="P29" s="26">
        <f>3.4%*P28</f>
        <v>0</v>
      </c>
      <c r="Q29" s="26" t="e">
        <f>(Q28*1.034*1.15-P33)/P33</f>
        <v>#N/A</v>
      </c>
      <c r="R29" s="26" t="s">
        <v>300</v>
      </c>
      <c r="S29" s="26">
        <f>C134</f>
        <v>35</v>
      </c>
      <c r="T29" s="26" t="e">
        <f>U32+W32</f>
        <v>#REF!</v>
      </c>
      <c r="U29" s="26" t="s">
        <v>31</v>
      </c>
      <c r="V29" s="26"/>
      <c r="W29" s="26"/>
      <c r="X29" s="26"/>
      <c r="Y29" s="26"/>
      <c r="Z29" s="26"/>
      <c r="AA29" s="26" t="s">
        <v>301</v>
      </c>
      <c r="AB29" s="26">
        <f>IF(BG71=AD20,12%,0)</f>
        <v>0</v>
      </c>
      <c r="AC29" s="26"/>
      <c r="AD29" s="26"/>
      <c r="AE29" s="26" t="s">
        <v>302</v>
      </c>
      <c r="AF29" s="26">
        <v>36</v>
      </c>
      <c r="AG29" s="26"/>
      <c r="AH29" s="26" t="s">
        <v>303</v>
      </c>
      <c r="AI29" s="26">
        <f>IF((AI28+AG38)&gt;AF29,AF29,AI28+AG38)</f>
        <v>36</v>
      </c>
      <c r="AJ29" s="26"/>
      <c r="AK29" s="26"/>
      <c r="AL29" s="26"/>
      <c r="AM29" s="26">
        <v>40209</v>
      </c>
      <c r="AN29" s="26"/>
      <c r="AO29" s="26"/>
      <c r="AP29" s="26"/>
      <c r="AQ29" s="26"/>
      <c r="AR29" s="26"/>
      <c r="AS29" s="26">
        <v>15</v>
      </c>
      <c r="AT29" s="26">
        <v>36</v>
      </c>
      <c r="AU29" s="26"/>
      <c r="AV29" s="26"/>
      <c r="AW29" s="26" t="s">
        <v>304</v>
      </c>
      <c r="AX29" s="26"/>
      <c r="AY29" s="26">
        <f>IF(MONTH(J4)=1,1,0)</f>
        <v>1</v>
      </c>
      <c r="AZ29" s="26"/>
      <c r="BA29" s="26" t="s">
        <v>305</v>
      </c>
      <c r="BB29" s="26" t="e">
        <f>(Q26-#REF!)*12</f>
        <v>#REF!</v>
      </c>
      <c r="BC29" s="26"/>
      <c r="BD29" s="26"/>
      <c r="BE29" s="26"/>
      <c r="BF29" s="26" t="s">
        <v>306</v>
      </c>
      <c r="BG29" s="26" t="s">
        <v>307</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308</v>
      </c>
      <c r="BQ29" s="26"/>
      <c r="BR29" s="26"/>
      <c r="BS29" s="26" t="e">
        <f>IF($BR$28=0%,BS27,IF(BS21&lt;$BP$20,BS27*$BI$99,BS27-($BP$28*BS28)))</f>
        <v>#REF!</v>
      </c>
      <c r="BT29" s="26"/>
      <c r="BU29" s="26" t="e">
        <f>IF($BR$28=0%,BU27,IF(BU21&lt;$BP$20,BU27*$BI$99,BU27-($BP$28*BU28)))</f>
        <v>#REF!</v>
      </c>
      <c r="BV29" s="26" t="s">
        <v>309</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267</v>
      </c>
      <c r="DM29" s="26"/>
      <c r="DN29" s="26"/>
      <c r="DO29" s="26"/>
      <c r="DP29" s="26"/>
      <c r="DQ29" s="26"/>
      <c r="DR29" s="26"/>
      <c r="DS29" s="26"/>
      <c r="DT29" s="26"/>
    </row>
    <row r="30" spans="2:124" ht="14.25" customHeight="1" x14ac:dyDescent="0.25">
      <c r="B30" s="51" t="s">
        <v>268</v>
      </c>
      <c r="C30" s="51">
        <f>C29*2.4</f>
        <v>36</v>
      </c>
      <c r="D30" s="51">
        <f>D29*2.2</f>
        <v>0</v>
      </c>
      <c r="E30" s="51">
        <f>E29*2</f>
        <v>0</v>
      </c>
      <c r="F30" s="59">
        <f>SUM(C30:E30)</f>
        <v>36</v>
      </c>
      <c r="G30" s="26"/>
      <c r="H30" s="26"/>
      <c r="I30" s="26"/>
      <c r="J30" s="26"/>
      <c r="K30" s="26"/>
      <c r="L30" s="26"/>
      <c r="M30" s="26"/>
      <c r="N30" s="26"/>
      <c r="O30" s="26" t="s">
        <v>298</v>
      </c>
      <c r="P30" s="26">
        <f>IF($C$21=$S$723,15%,15%*0.8)</f>
        <v>0.15</v>
      </c>
      <c r="Q30" s="26" t="e">
        <f>ROUND(Q29,2)</f>
        <v>#N/A</v>
      </c>
      <c r="R30" s="26" t="s">
        <v>312</v>
      </c>
      <c r="S30" s="26">
        <f>C135</f>
        <v>0</v>
      </c>
      <c r="T30" s="26" t="e">
        <f>U33+W33</f>
        <v>#REF!</v>
      </c>
      <c r="U30" s="26" t="s">
        <v>30</v>
      </c>
      <c r="V30" s="26"/>
      <c r="W30" s="26"/>
      <c r="X30" s="26"/>
      <c r="Y30" s="26"/>
      <c r="Z30" s="26"/>
      <c r="AA30" s="26"/>
      <c r="AB30" s="26"/>
      <c r="AC30" s="26"/>
      <c r="AD30" s="26"/>
      <c r="AE30" s="26"/>
      <c r="AF30" s="26"/>
      <c r="AG30" s="26" t="s">
        <v>313</v>
      </c>
      <c r="AH30" s="26"/>
      <c r="AI30" s="26"/>
      <c r="AJ30" s="26" t="e">
        <f>(100-AJ28)/100</f>
        <v>#REF!</v>
      </c>
      <c r="AK30" s="26"/>
      <c r="AL30" s="26"/>
      <c r="AM30" s="26">
        <v>40237</v>
      </c>
      <c r="AN30" s="26"/>
      <c r="AO30" s="26" t="s">
        <v>314</v>
      </c>
      <c r="AP30" s="26"/>
      <c r="AQ30" s="26"/>
      <c r="AR30" s="26"/>
      <c r="AS30" s="26" t="s">
        <v>315</v>
      </c>
      <c r="AT30" s="26" t="s">
        <v>316</v>
      </c>
      <c r="AU30" s="26"/>
      <c r="AV30" s="26"/>
      <c r="AW30" s="26"/>
      <c r="AX30" s="26"/>
      <c r="AY30" s="26" t="s">
        <v>58</v>
      </c>
      <c r="AZ30" s="26"/>
      <c r="BA30" s="26" t="s">
        <v>58</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317</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258</v>
      </c>
      <c r="DI30" s="26"/>
      <c r="DJ30" s="26"/>
      <c r="DK30" s="26"/>
      <c r="DL30" s="26" t="s">
        <v>267</v>
      </c>
      <c r="DM30" s="26"/>
      <c r="DN30" s="26"/>
      <c r="DO30" s="26"/>
      <c r="DP30" s="26"/>
      <c r="DQ30" s="26"/>
      <c r="DR30" s="26"/>
      <c r="DS30" s="26"/>
      <c r="DT30" s="26"/>
    </row>
    <row r="31" spans="2:124" ht="18.75" customHeight="1" x14ac:dyDescent="0.25">
      <c r="B31" s="60" t="s">
        <v>318</v>
      </c>
      <c r="E31" s="35">
        <v>0</v>
      </c>
      <c r="F31" s="61">
        <f>F30*0.05*E31</f>
        <v>0</v>
      </c>
      <c r="G31" s="26"/>
      <c r="H31" s="26"/>
      <c r="I31" s="26"/>
      <c r="J31" s="26"/>
      <c r="K31" s="26" t="s">
        <v>300</v>
      </c>
      <c r="L31" s="26"/>
      <c r="M31" s="26"/>
      <c r="N31" s="26"/>
      <c r="O31" s="26" t="s">
        <v>310</v>
      </c>
      <c r="P31" s="26">
        <f>(P28+P29)*(1+P30)</f>
        <v>0</v>
      </c>
      <c r="Q31" s="26"/>
      <c r="R31" s="26"/>
      <c r="S31" s="26"/>
      <c r="T31" s="26"/>
      <c r="U31" s="26"/>
      <c r="V31" s="26"/>
      <c r="W31" s="26"/>
      <c r="X31" s="26"/>
      <c r="Y31" s="26"/>
      <c r="Z31" s="26"/>
      <c r="AA31" s="26" t="s">
        <v>320</v>
      </c>
      <c r="AB31" s="26"/>
      <c r="AC31" s="26"/>
      <c r="AD31" s="26"/>
      <c r="AE31" s="26" t="s">
        <v>321</v>
      </c>
      <c r="AF31" s="26"/>
      <c r="AG31" s="26" t="s">
        <v>322</v>
      </c>
      <c r="AH31" s="26"/>
      <c r="AI31" s="26"/>
      <c r="AJ31" s="26"/>
      <c r="AK31" s="26"/>
      <c r="AL31" s="26"/>
      <c r="AM31" s="26">
        <v>40268</v>
      </c>
      <c r="AN31" s="26"/>
      <c r="AO31" s="26">
        <f>DATE(YEAR(J4),MONTH(J4)-MONTH(J4)+1,DAY(J4)-DAY(J4)+1)</f>
        <v>1</v>
      </c>
      <c r="AP31" s="26">
        <f>ROUND((AO31-AQ22)/365.25,2)</f>
        <v>-78.67</v>
      </c>
      <c r="AQ31" s="26"/>
      <c r="AR31" s="26"/>
      <c r="AS31" s="26">
        <v>16</v>
      </c>
      <c r="AT31" s="26">
        <v>37</v>
      </c>
      <c r="AU31" s="26" t="s">
        <v>58</v>
      </c>
      <c r="AV31" s="26"/>
      <c r="AW31" s="26"/>
      <c r="AX31" s="26"/>
      <c r="AY31" s="26"/>
      <c r="AZ31" s="26"/>
      <c r="BA31" s="26">
        <f>IF(24.75-BG61-BG62&lt;=0,0,IF((24.75-BG61-BG62)&gt;#REF!,#REF!*#REF!*0.6,(24.75-BG61-BG62)*#REF!*0.6))</f>
        <v>0</v>
      </c>
      <c r="BB31" s="26"/>
      <c r="BC31" s="26"/>
      <c r="BD31" s="26"/>
      <c r="BE31" s="26"/>
      <c r="BF31" s="26"/>
      <c r="BG31" s="26" t="s">
        <v>323</v>
      </c>
      <c r="BH31" s="26"/>
      <c r="BI31" s="26"/>
      <c r="BJ31" s="26">
        <f>IF(MONTH(AK25)&gt;9,0,MONTH(AK25)-1+DAY(AK25)/30)</f>
        <v>1.0333333333333334</v>
      </c>
      <c r="BK31" s="26"/>
      <c r="BL31" s="26" t="s">
        <v>324</v>
      </c>
      <c r="BM31" s="26" t="e">
        <f>IF(BM30=0,0,(BM30-(BG76*BM32)*12)-BP31)</f>
        <v>#REF!</v>
      </c>
      <c r="BN31" s="26" t="s">
        <v>325</v>
      </c>
      <c r="BO31" s="26" t="s">
        <v>326</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267</v>
      </c>
      <c r="DM31" s="26"/>
      <c r="DN31" s="26"/>
      <c r="DO31" s="26"/>
      <c r="DP31" s="26"/>
      <c r="DQ31" s="26"/>
      <c r="DR31" s="26"/>
      <c r="DS31" s="26"/>
      <c r="DT31" s="26"/>
    </row>
    <row r="32" spans="2:124" ht="17.25" customHeight="1" x14ac:dyDescent="0.25">
      <c r="B32" s="60" t="s">
        <v>327</v>
      </c>
      <c r="E32" s="35">
        <v>0</v>
      </c>
      <c r="F32" s="61">
        <f>F30*0.05*E32</f>
        <v>0</v>
      </c>
      <c r="G32" s="26"/>
      <c r="H32" s="26"/>
      <c r="I32" s="26"/>
      <c r="J32" s="26"/>
      <c r="K32" s="26" t="s">
        <v>329</v>
      </c>
      <c r="L32" s="26"/>
      <c r="M32" s="26"/>
      <c r="N32" s="26"/>
      <c r="O32" s="26" t="s">
        <v>61</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58</v>
      </c>
      <c r="AA32" s="26" t="s">
        <v>331</v>
      </c>
      <c r="AB32" s="26" t="s">
        <v>251</v>
      </c>
      <c r="AC32" s="26"/>
      <c r="AD32" s="26"/>
      <c r="AE32" s="26" t="e">
        <f>#REF!</f>
        <v>#REF!</v>
      </c>
      <c r="AF32" s="26"/>
      <c r="AG32" s="26">
        <f>BG76*'[1]נתוני מס'!I14</f>
        <v>574.75</v>
      </c>
      <c r="AH32" s="26"/>
      <c r="AI32" s="26"/>
      <c r="AJ32" s="26"/>
      <c r="AK32" s="26"/>
      <c r="AL32" s="26"/>
      <c r="AM32" s="26">
        <v>40298</v>
      </c>
      <c r="AN32" s="26"/>
      <c r="AO32" s="26"/>
      <c r="AP32" s="26"/>
      <c r="AQ32" s="26"/>
      <c r="AR32" s="26"/>
      <c r="AS32" s="26" t="s">
        <v>332</v>
      </c>
      <c r="AT32" s="26" t="s">
        <v>333</v>
      </c>
      <c r="AU32" s="26"/>
      <c r="AV32" s="26"/>
      <c r="AW32" s="26"/>
      <c r="AX32" s="26" t="s">
        <v>334</v>
      </c>
      <c r="AY32" s="26">
        <f>ROUND(H154,0)</f>
        <v>113</v>
      </c>
      <c r="AZ32" s="26"/>
      <c r="BA32" s="26" t="e">
        <f>IF(H159&lt;70%,IF(#REF!* 2% &gt;70%-H159,70%-H159,#REF!*2%),IF(H157+H158-H159&lt;=0,0,H157+H158-H159))</f>
        <v>#REF!</v>
      </c>
      <c r="BB32" s="26"/>
      <c r="BC32" s="26"/>
      <c r="BD32" s="26"/>
      <c r="BE32" s="26"/>
      <c r="BF32" s="26"/>
      <c r="BG32" s="26" t="s">
        <v>335</v>
      </c>
      <c r="BH32" s="26"/>
      <c r="BI32" s="26"/>
      <c r="BJ32" s="26">
        <f>MONTH(AK25)-1+DAY(AK25)/30</f>
        <v>1.0333333333333334</v>
      </c>
      <c r="BK32" s="26"/>
      <c r="BL32" s="26" t="s">
        <v>336</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267</v>
      </c>
      <c r="DM32" s="26"/>
      <c r="DN32" s="26"/>
      <c r="DO32" s="26"/>
      <c r="DP32" s="26"/>
      <c r="DQ32" s="26"/>
      <c r="DR32" s="26"/>
      <c r="DS32" s="26"/>
      <c r="DT32" s="26"/>
    </row>
    <row r="33" spans="2:124" ht="21" customHeight="1" x14ac:dyDescent="0.25">
      <c r="B33" s="60"/>
      <c r="C33" s="60"/>
      <c r="D33" s="208" t="s">
        <v>148</v>
      </c>
      <c r="E33" s="209"/>
      <c r="F33" s="59">
        <f>SUM(F30:F32)</f>
        <v>36</v>
      </c>
      <c r="G33" s="26"/>
      <c r="H33" s="26"/>
      <c r="I33" s="26"/>
      <c r="J33" s="26"/>
      <c r="K33" s="26"/>
      <c r="L33" s="26"/>
      <c r="M33" s="26"/>
      <c r="N33" s="26"/>
      <c r="O33" s="26" t="s">
        <v>328</v>
      </c>
      <c r="P33" s="26" t="e">
        <f>VLOOKUP(P32,טור12,2,1)</f>
        <v>#N/A</v>
      </c>
      <c r="Q33" s="26"/>
      <c r="R33" s="26"/>
      <c r="S33" s="26"/>
      <c r="T33" s="26" t="e">
        <f>IF(#REF!="כן",10%,0)</f>
        <v>#REF!</v>
      </c>
      <c r="U33" s="26">
        <f>(C135/24)</f>
        <v>0</v>
      </c>
      <c r="V33" s="26">
        <f>U33/(U32+U33)</f>
        <v>0</v>
      </c>
      <c r="W33" s="26" t="e">
        <f>T33*V33</f>
        <v>#REF!</v>
      </c>
      <c r="X33" s="26"/>
      <c r="Y33" s="26"/>
      <c r="Z33" s="26"/>
      <c r="AA33" s="26" t="s">
        <v>338</v>
      </c>
      <c r="AB33" s="26" t="s">
        <v>129</v>
      </c>
      <c r="AC33" s="26"/>
      <c r="AD33" s="26"/>
      <c r="AE33" s="26" t="s">
        <v>58</v>
      </c>
      <c r="AF33" s="26"/>
      <c r="AG33" s="26"/>
      <c r="AH33" s="26"/>
      <c r="AI33" s="26" t="s">
        <v>339</v>
      </c>
      <c r="AJ33" s="26" t="e">
        <f>Q26*0.36</f>
        <v>#REF!</v>
      </c>
      <c r="AK33" s="26"/>
      <c r="AL33" s="26"/>
      <c r="AM33" s="26">
        <v>40329</v>
      </c>
      <c r="AN33" s="26"/>
      <c r="AO33" s="26" t="s">
        <v>340</v>
      </c>
      <c r="AP33" s="26" t="s">
        <v>341</v>
      </c>
      <c r="AQ33" s="26"/>
      <c r="AR33" s="26"/>
      <c r="AS33" s="26">
        <v>17</v>
      </c>
      <c r="AT33" s="26">
        <v>38</v>
      </c>
      <c r="AU33" s="26"/>
      <c r="AV33" s="26"/>
      <c r="AW33" s="26"/>
      <c r="AX33" s="26" t="s">
        <v>342</v>
      </c>
      <c r="AY33" s="26" t="s">
        <v>58</v>
      </c>
      <c r="AZ33" s="26"/>
      <c r="BA33" s="26"/>
      <c r="BB33" s="26"/>
      <c r="BC33" s="26"/>
      <c r="BD33" s="26"/>
      <c r="BE33" s="26"/>
      <c r="BF33" s="26"/>
      <c r="BG33" s="26"/>
      <c r="BH33" s="26"/>
      <c r="BI33" s="26"/>
      <c r="BJ33" s="26"/>
      <c r="BK33" s="26"/>
      <c r="BL33" s="26" t="s">
        <v>343</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58</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344</v>
      </c>
      <c r="DM33" s="26"/>
      <c r="DN33" s="26"/>
      <c r="DO33" s="26"/>
      <c r="DP33" s="26"/>
      <c r="DQ33" s="26"/>
      <c r="DR33" s="26"/>
      <c r="DS33" s="26"/>
      <c r="DT33" s="26"/>
    </row>
    <row r="34" spans="2:124" ht="17.25" customHeight="1" x14ac:dyDescent="0.25">
      <c r="B34" s="52" t="s">
        <v>249</v>
      </c>
      <c r="C34" s="39">
        <v>0</v>
      </c>
      <c r="D34" s="26"/>
      <c r="E34" s="26"/>
      <c r="F34" s="26"/>
      <c r="G34" s="26"/>
      <c r="H34" s="26" t="s">
        <v>345</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347</v>
      </c>
      <c r="AT34" s="26" t="s">
        <v>348</v>
      </c>
      <c r="AU34" s="26"/>
      <c r="AV34" s="26"/>
      <c r="AW34" s="26"/>
      <c r="AX34" s="26" t="s">
        <v>349</v>
      </c>
      <c r="AY34" s="26">
        <f>(AY36*2)/100</f>
        <v>0.18833333333333332</v>
      </c>
      <c r="AZ34" s="26"/>
      <c r="BA34" s="26"/>
      <c r="BB34" s="26"/>
      <c r="BC34" s="26"/>
      <c r="BD34" s="26"/>
      <c r="BE34" s="26"/>
      <c r="BF34" s="26"/>
      <c r="BG34" s="26"/>
      <c r="BH34" s="26"/>
      <c r="BI34" s="26"/>
      <c r="BJ34" s="26"/>
      <c r="BK34" s="26" t="s">
        <v>58</v>
      </c>
      <c r="BL34" s="26" t="s">
        <v>350</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344</v>
      </c>
      <c r="DM34" s="26"/>
      <c r="DN34" s="26"/>
      <c r="DO34" s="26"/>
      <c r="DP34" s="26"/>
      <c r="DQ34" s="26"/>
      <c r="DR34" s="26"/>
      <c r="DS34" s="26"/>
      <c r="DT34" s="26"/>
    </row>
    <row r="35" spans="2:124" ht="12.75" customHeight="1" x14ac:dyDescent="0.25">
      <c r="B35" s="208"/>
      <c r="C35" s="209"/>
      <c r="D35" s="26"/>
      <c r="E35" s="26"/>
      <c r="F35" s="26"/>
      <c r="G35" s="26"/>
      <c r="H35" s="26">
        <f>IF(C14&gt;1%,"3%",0)</f>
        <v>0</v>
      </c>
      <c r="I35" s="26">
        <f>IF(C14&gt;1%,3,0)</f>
        <v>0</v>
      </c>
      <c r="J35" s="26" t="s">
        <v>351</v>
      </c>
      <c r="K35" s="26"/>
      <c r="L35" s="26"/>
      <c r="M35" s="26"/>
      <c r="N35" s="26"/>
      <c r="O35" s="26"/>
      <c r="P35" s="26"/>
      <c r="Q35" s="26"/>
      <c r="R35" s="26"/>
      <c r="S35" s="26"/>
      <c r="T35" s="26"/>
      <c r="U35" s="26"/>
      <c r="V35" s="26"/>
      <c r="W35" s="26"/>
      <c r="X35" s="26"/>
      <c r="Y35" s="26" t="s">
        <v>352</v>
      </c>
      <c r="Z35" s="26"/>
      <c r="AA35" s="26">
        <v>0</v>
      </c>
      <c r="AB35" s="26" t="s">
        <v>353</v>
      </c>
      <c r="AC35" s="26"/>
      <c r="AD35" s="26"/>
      <c r="AE35" s="26"/>
      <c r="AF35" s="26" t="s">
        <v>8</v>
      </c>
      <c r="AG35" s="26" t="s">
        <v>354</v>
      </c>
      <c r="AH35" s="26" t="s">
        <v>355</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344</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356</v>
      </c>
      <c r="Z36" s="26"/>
      <c r="AA36" s="26" t="s">
        <v>357</v>
      </c>
      <c r="AB36" s="26" t="s">
        <v>358</v>
      </c>
      <c r="AC36" s="26"/>
      <c r="AD36" s="26"/>
      <c r="AE36" s="26"/>
      <c r="AF36" s="26" t="s">
        <v>70</v>
      </c>
      <c r="AG36" s="26">
        <f>IF(BC24&lt;AF29,BC24-INT(BC24),0)</f>
        <v>0</v>
      </c>
      <c r="AH36" s="26" t="s">
        <v>359</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360</v>
      </c>
      <c r="AT36" s="26" t="s">
        <v>361</v>
      </c>
      <c r="AU36" s="26"/>
      <c r="AV36" s="26"/>
      <c r="AW36" s="26"/>
      <c r="AX36" s="26" t="s">
        <v>362</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344</v>
      </c>
      <c r="DM36" s="26"/>
      <c r="DN36" s="26"/>
      <c r="DO36" s="26"/>
      <c r="DP36" s="26"/>
      <c r="DQ36" s="26"/>
      <c r="DR36" s="26"/>
      <c r="DS36" s="26"/>
      <c r="DT36" s="26"/>
    </row>
    <row r="37" spans="2:124" ht="17.25" customHeight="1" x14ac:dyDescent="0.25">
      <c r="B37" s="26" t="s">
        <v>363</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303</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364</v>
      </c>
      <c r="BB37" s="26" t="s">
        <v>365</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344</v>
      </c>
      <c r="DM37" s="26"/>
      <c r="DN37" s="26"/>
      <c r="DO37" s="26"/>
      <c r="DP37" s="26"/>
      <c r="DQ37" s="26"/>
      <c r="DR37" s="26"/>
      <c r="DS37" s="26"/>
      <c r="DT37" s="26"/>
    </row>
    <row r="38" spans="2:124" ht="7.5" customHeight="1" x14ac:dyDescent="0.25">
      <c r="B38" s="26" t="s">
        <v>366</v>
      </c>
      <c r="C38" s="26" t="s">
        <v>29</v>
      </c>
      <c r="D38" s="26" t="s">
        <v>367</v>
      </c>
      <c r="E38" s="26"/>
      <c r="F38" s="26"/>
      <c r="G38" s="26"/>
      <c r="H38" s="26"/>
      <c r="I38" s="26"/>
      <c r="J38" s="26" t="s">
        <v>58</v>
      </c>
      <c r="K38" s="26" t="s">
        <v>368</v>
      </c>
      <c r="L38" s="26"/>
      <c r="M38" s="26"/>
      <c r="N38" s="26"/>
      <c r="O38" s="26"/>
      <c r="P38" s="26"/>
      <c r="Q38" s="26"/>
      <c r="R38" s="26"/>
      <c r="S38" s="26"/>
      <c r="T38" s="26"/>
      <c r="U38" s="26"/>
      <c r="V38" s="26"/>
      <c r="W38" s="26"/>
      <c r="X38" s="26"/>
      <c r="Y38" s="26"/>
      <c r="Z38" s="26"/>
      <c r="AA38" s="26"/>
      <c r="AB38" s="26"/>
      <c r="AC38" s="26"/>
      <c r="AD38" s="26"/>
      <c r="AE38" s="26" t="e">
        <f>35%*AE39</f>
        <v>#REF!</v>
      </c>
      <c r="AF38" s="26" t="s">
        <v>369</v>
      </c>
      <c r="AG38" s="26">
        <f>YEAR(AK25)-YEAR(J4)</f>
        <v>111</v>
      </c>
      <c r="AH38" s="26"/>
      <c r="AI38" s="26"/>
      <c r="AJ38" s="26"/>
      <c r="AK38" s="26"/>
      <c r="AL38" s="26"/>
      <c r="AM38" s="26">
        <v>40482</v>
      </c>
      <c r="AN38" s="26"/>
      <c r="AO38" s="26"/>
      <c r="AP38" s="26"/>
      <c r="AQ38" s="26"/>
      <c r="AR38" s="26"/>
      <c r="AS38" s="26" t="s">
        <v>370</v>
      </c>
      <c r="AT38" s="26" t="s">
        <v>371</v>
      </c>
      <c r="AU38" s="26"/>
      <c r="AV38" s="26"/>
      <c r="AW38" s="26"/>
      <c r="AX38" s="26"/>
      <c r="AY38" s="26" t="s">
        <v>372</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58</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344</v>
      </c>
      <c r="DM38" s="26"/>
      <c r="DN38" s="26"/>
      <c r="DO38" s="26"/>
      <c r="DP38" s="26"/>
      <c r="DQ38" s="26"/>
      <c r="DR38" s="26"/>
      <c r="DS38" s="26"/>
      <c r="DT38" s="26"/>
    </row>
    <row r="39" spans="2:124" ht="11.25" customHeight="1" x14ac:dyDescent="0.25">
      <c r="B39" s="26" t="s">
        <v>373</v>
      </c>
      <c r="C39" s="26">
        <f>IF($C$38="א-ו",J111,IF($C$38="ז-ח",J112,IF($C$38="חטיבת ביניים",J112-2.5%,#REF!)))</f>
        <v>0</v>
      </c>
      <c r="D39" s="26" t="s">
        <v>374</v>
      </c>
      <c r="E39" s="26"/>
      <c r="F39" s="26"/>
      <c r="G39" s="26"/>
      <c r="H39" s="26"/>
      <c r="I39" s="26">
        <v>3</v>
      </c>
      <c r="J39" s="26">
        <f>IF(C21=S723,1*L853,IF(C21=S724,0.75*L853,IF(C21=S725,0.6836*L853,0.5948*L853)))</f>
        <v>1</v>
      </c>
      <c r="K39" s="26"/>
      <c r="L39" s="26" t="s">
        <v>290</v>
      </c>
      <c r="M39" s="26" t="s">
        <v>181</v>
      </c>
      <c r="N39" s="26"/>
      <c r="O39" s="26" t="e">
        <f>IF(#REF!="כן",10%,0)</f>
        <v>#REF!</v>
      </c>
      <c r="P39" s="26" t="e">
        <f>(#REF!/24)</f>
        <v>#REF!</v>
      </c>
      <c r="Q39" s="26" t="e">
        <f>P39/(P40+P39)</f>
        <v>#REF!</v>
      </c>
      <c r="R39" s="26" t="e">
        <f>O39*Q39</f>
        <v>#REF!</v>
      </c>
      <c r="S39" s="26"/>
      <c r="T39" s="26"/>
      <c r="U39" s="26"/>
      <c r="V39" s="26"/>
      <c r="W39" s="26"/>
      <c r="X39" s="26"/>
      <c r="Y39" s="26"/>
      <c r="Z39" s="26"/>
      <c r="AA39" s="26" t="s">
        <v>375</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376</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377</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344</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299</v>
      </c>
      <c r="M40" s="26" t="s">
        <v>287</v>
      </c>
      <c r="N40" s="26" t="s">
        <v>288</v>
      </c>
      <c r="O40" s="26"/>
      <c r="P40" s="26" t="e">
        <f>#REF!/30</f>
        <v>#REF!</v>
      </c>
      <c r="Q40" s="26" t="e">
        <f>P40/(P39+P40)</f>
        <v>#REF!</v>
      </c>
      <c r="R40" s="26" t="e">
        <f>Q40*O39</f>
        <v>#REF!</v>
      </c>
      <c r="S40" s="26"/>
      <c r="T40" s="26"/>
      <c r="U40" s="26"/>
      <c r="V40" s="26"/>
      <c r="W40" s="26"/>
      <c r="X40" s="26"/>
      <c r="Y40" s="26"/>
      <c r="Z40" s="26"/>
      <c r="AA40" s="26" t="s">
        <v>378</v>
      </c>
      <c r="AB40" s="26">
        <v>0</v>
      </c>
      <c r="AC40" s="26"/>
      <c r="AD40" s="26"/>
      <c r="AE40" s="26"/>
      <c r="AF40" s="26"/>
      <c r="AG40" s="26"/>
      <c r="AH40" s="26" t="s">
        <v>359</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379</v>
      </c>
      <c r="AT40" s="26" t="s">
        <v>380</v>
      </c>
      <c r="AU40" s="26"/>
      <c r="AV40" s="26"/>
      <c r="AW40" s="26"/>
      <c r="AX40" s="26"/>
      <c r="AY40" s="26"/>
      <c r="AZ40" s="26"/>
      <c r="BA40" s="26"/>
      <c r="BB40" s="26"/>
      <c r="BC40" s="26"/>
      <c r="BD40" s="26"/>
      <c r="BE40" s="26"/>
      <c r="BF40" s="26"/>
      <c r="BG40" s="26"/>
      <c r="BH40" s="26"/>
      <c r="BI40" s="26"/>
      <c r="BJ40" s="26" t="s">
        <v>58</v>
      </c>
      <c r="BK40" s="26" t="s">
        <v>381</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344</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58</v>
      </c>
      <c r="K41" s="26"/>
      <c r="L41" s="26" t="s">
        <v>311</v>
      </c>
      <c r="M41" s="26">
        <v>2</v>
      </c>
      <c r="N41" s="26">
        <v>3</v>
      </c>
      <c r="O41" s="26"/>
      <c r="P41" s="26"/>
      <c r="Q41" s="26"/>
      <c r="R41" s="26"/>
      <c r="S41" s="26"/>
      <c r="T41" s="26"/>
      <c r="U41" s="26"/>
      <c r="V41" s="26"/>
      <c r="W41" s="26"/>
      <c r="X41" s="26"/>
      <c r="Y41" s="26"/>
      <c r="Z41" s="26"/>
      <c r="AA41" s="26"/>
      <c r="AB41" s="26"/>
      <c r="AC41" s="26"/>
      <c r="AD41" s="26"/>
      <c r="AE41" s="26" t="s">
        <v>382</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383</v>
      </c>
      <c r="AZ41" s="26" t="s">
        <v>384</v>
      </c>
      <c r="BA41" s="26"/>
      <c r="BB41" s="26"/>
      <c r="BC41" s="26"/>
      <c r="BD41" s="26"/>
      <c r="BE41" s="26"/>
      <c r="BF41" s="26"/>
      <c r="BG41" s="26"/>
      <c r="BH41" s="26"/>
      <c r="BI41" s="26"/>
      <c r="BJ41" s="26"/>
      <c r="BK41" s="26" t="s">
        <v>385</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344</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58</v>
      </c>
      <c r="K42" s="26"/>
      <c r="L42" s="26" t="s">
        <v>319</v>
      </c>
      <c r="M42" s="26">
        <f>M41*2.2</f>
        <v>4.4000000000000004</v>
      </c>
      <c r="N42" s="26">
        <f>N41*2</f>
        <v>6</v>
      </c>
      <c r="O42" s="26"/>
      <c r="P42" s="26"/>
      <c r="Q42" s="26"/>
      <c r="R42" s="26"/>
      <c r="S42" s="26"/>
      <c r="T42" s="26"/>
      <c r="U42" s="26"/>
      <c r="V42" s="26"/>
      <c r="W42" s="26"/>
      <c r="X42" s="26"/>
      <c r="Y42" s="26"/>
      <c r="Z42" s="26"/>
      <c r="AA42" s="26" t="s">
        <v>256</v>
      </c>
      <c r="AB42" s="26">
        <f>BG61</f>
        <v>33</v>
      </c>
      <c r="AC42" s="26"/>
      <c r="AD42" s="26"/>
      <c r="AE42" s="26" t="s">
        <v>386</v>
      </c>
      <c r="AF42" s="26" t="e">
        <f>#REF!*AF41</f>
        <v>#REF!</v>
      </c>
      <c r="AG42" s="26"/>
      <c r="AH42" s="26"/>
      <c r="AI42" s="26"/>
      <c r="AJ42" s="26"/>
      <c r="AK42" s="26"/>
      <c r="AL42" s="26"/>
      <c r="AM42" s="26"/>
      <c r="AN42" s="26"/>
      <c r="AO42" s="26">
        <f>ROUND((AK25-AO41)/365.25,2)</f>
        <v>0.08</v>
      </c>
      <c r="AP42" s="26"/>
      <c r="AQ42" s="26"/>
      <c r="AR42" s="26"/>
      <c r="AS42" s="26" t="s">
        <v>387</v>
      </c>
      <c r="AT42" s="26" t="s">
        <v>388</v>
      </c>
      <c r="AU42" s="26"/>
      <c r="AV42" s="26"/>
      <c r="AW42" s="26"/>
      <c r="AX42" s="26" t="s">
        <v>389</v>
      </c>
      <c r="AY42" s="26"/>
      <c r="AZ42" s="26" t="e">
        <f>#REF!</f>
        <v>#REF!</v>
      </c>
      <c r="BA42" s="26" t="s">
        <v>390</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344</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58</v>
      </c>
      <c r="K43" s="26"/>
      <c r="L43" s="26" t="s">
        <v>330</v>
      </c>
      <c r="M43" s="26"/>
      <c r="N43" s="26"/>
      <c r="O43" s="26"/>
      <c r="P43" s="26" t="s">
        <v>58</v>
      </c>
      <c r="Q43" s="26"/>
      <c r="R43" s="26"/>
      <c r="S43" s="26"/>
      <c r="T43" s="26"/>
      <c r="U43" s="26"/>
      <c r="V43" s="26"/>
      <c r="W43" s="26"/>
      <c r="X43" s="26"/>
      <c r="Y43" s="26"/>
      <c r="Z43" s="26"/>
      <c r="AA43" s="26" t="s">
        <v>2</v>
      </c>
      <c r="AB43" s="26">
        <f>IF(W18&gt;36,36,W18)</f>
        <v>1</v>
      </c>
      <c r="AC43" s="26"/>
      <c r="AD43" s="26"/>
      <c r="AE43" s="26" t="s">
        <v>391</v>
      </c>
      <c r="AF43" s="26"/>
      <c r="AG43" s="26"/>
      <c r="AH43" s="26"/>
      <c r="AI43" s="26" t="s">
        <v>392</v>
      </c>
      <c r="AJ43" s="26" t="s">
        <v>393</v>
      </c>
      <c r="AK43" s="26"/>
      <c r="AL43" s="26"/>
      <c r="AM43" s="26"/>
      <c r="AN43" s="26"/>
      <c r="AO43" s="26"/>
      <c r="AP43" s="26"/>
      <c r="AQ43" s="26"/>
      <c r="AR43" s="26"/>
      <c r="AS43" s="26">
        <v>22</v>
      </c>
      <c r="AT43" s="26">
        <v>43</v>
      </c>
      <c r="AU43" s="26"/>
      <c r="AV43" s="26"/>
      <c r="AW43" s="26"/>
      <c r="AX43" s="26" t="s">
        <v>58</v>
      </c>
      <c r="AY43" s="26">
        <v>12</v>
      </c>
      <c r="AZ43" s="26" t="s">
        <v>394</v>
      </c>
      <c r="BA43" s="26" t="e">
        <f>12*AZ42</f>
        <v>#REF!</v>
      </c>
      <c r="BB43" s="26"/>
      <c r="BC43" s="26"/>
      <c r="BD43" s="26"/>
      <c r="BE43" s="26"/>
      <c r="BF43" s="26" t="s">
        <v>58</v>
      </c>
      <c r="BG43" s="26"/>
      <c r="BH43" s="26"/>
      <c r="BI43" s="26"/>
      <c r="BJ43" s="26" t="s">
        <v>395</v>
      </c>
      <c r="BK43" s="26"/>
      <c r="BL43" s="26"/>
      <c r="BM43" s="26"/>
      <c r="BN43" s="26"/>
      <c r="BO43" s="26"/>
      <c r="BP43" s="26"/>
      <c r="BQ43" s="26" t="s">
        <v>396</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397</v>
      </c>
      <c r="CW43" s="26">
        <v>63.5</v>
      </c>
      <c r="CX43" s="26"/>
      <c r="CY43" s="26"/>
      <c r="CZ43" s="26">
        <v>32</v>
      </c>
      <c r="DA43" s="26">
        <v>56.1</v>
      </c>
      <c r="DB43" s="26">
        <v>56.14</v>
      </c>
      <c r="DC43" s="26"/>
      <c r="DD43" s="26"/>
      <c r="DE43" s="26"/>
      <c r="DF43" s="26"/>
      <c r="DG43" s="26"/>
      <c r="DH43" s="26"/>
      <c r="DI43" s="26"/>
      <c r="DJ43" s="26"/>
      <c r="DK43" s="26"/>
      <c r="DL43" s="26" t="s">
        <v>398</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58</v>
      </c>
      <c r="K44" s="26"/>
      <c r="L44" s="26" t="s">
        <v>337</v>
      </c>
      <c r="M44" s="26"/>
      <c r="N44" s="26"/>
      <c r="O44" s="26" t="s">
        <v>277</v>
      </c>
      <c r="P44" s="26" t="e">
        <f t="shared" ref="P44:P61" si="3">HLOOKUP($C$5,$G$115:$L$132,ROW()-43,0)</f>
        <v>#N/A</v>
      </c>
      <c r="Q44" s="26"/>
      <c r="R44" s="26" t="s">
        <v>277</v>
      </c>
      <c r="S44" s="26"/>
      <c r="T44" s="26"/>
      <c r="U44" s="26"/>
      <c r="V44" s="26"/>
      <c r="W44" s="26"/>
      <c r="X44" s="26"/>
      <c r="Y44" s="26"/>
      <c r="Z44" s="26"/>
      <c r="AA44" s="26" t="s">
        <v>399</v>
      </c>
      <c r="AB44" s="26">
        <v>1</v>
      </c>
      <c r="AC44" s="26"/>
      <c r="AD44" s="26"/>
      <c r="AE44" s="26" t="e">
        <f>IF(#REF!&gt;0,#REF!/'[1]נתוני מס'!N16,0)</f>
        <v>#REF!</v>
      </c>
      <c r="AF44" s="26" t="s">
        <v>400</v>
      </c>
      <c r="AG44" s="26" t="s">
        <v>401</v>
      </c>
      <c r="AH44" s="26" t="s">
        <v>197</v>
      </c>
      <c r="AI44" s="26"/>
      <c r="AJ44" s="26">
        <f>C151</f>
        <v>174.47</v>
      </c>
      <c r="AK44" s="26"/>
      <c r="AL44" s="26"/>
      <c r="AM44" s="26"/>
      <c r="AN44" s="26"/>
      <c r="AO44" s="26"/>
      <c r="AP44" s="26"/>
      <c r="AQ44" s="26"/>
      <c r="AR44" s="26"/>
      <c r="AS44" s="26" t="s">
        <v>402</v>
      </c>
      <c r="AT44" s="26" t="s">
        <v>403</v>
      </c>
      <c r="AU44" s="26"/>
      <c r="AV44" s="26"/>
      <c r="AW44" s="26"/>
      <c r="AX44" s="26" t="s">
        <v>404</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405</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58</v>
      </c>
      <c r="K45" s="26"/>
      <c r="L45" s="26" t="s">
        <v>346</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406</v>
      </c>
      <c r="AG45" s="26" t="s">
        <v>407</v>
      </c>
      <c r="AH45" s="26" t="s">
        <v>70</v>
      </c>
      <c r="AI45" s="26"/>
      <c r="AJ45" s="26"/>
      <c r="AK45" s="26" t="s">
        <v>408</v>
      </c>
      <c r="AL45" s="26">
        <f>IF(AB17=AH44,0.01%,0)</f>
        <v>0</v>
      </c>
      <c r="AM45" s="26"/>
      <c r="AN45" s="26"/>
      <c r="AO45" s="26" t="s">
        <v>350</v>
      </c>
      <c r="AP45" s="26"/>
      <c r="AQ45" s="26"/>
      <c r="AR45" s="26"/>
      <c r="AS45" s="26">
        <v>23</v>
      </c>
      <c r="AT45" s="26">
        <v>44</v>
      </c>
      <c r="AU45" s="26"/>
      <c r="AV45" s="26"/>
      <c r="AW45" s="26"/>
      <c r="AX45" s="26"/>
      <c r="AY45" s="26"/>
      <c r="AZ45" s="26" t="s">
        <v>409</v>
      </c>
      <c r="BA45" s="26" t="e">
        <f>BF48</f>
        <v>#REF!</v>
      </c>
      <c r="BB45" s="26"/>
      <c r="BC45" s="26" t="s">
        <v>410</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327</v>
      </c>
      <c r="K46" s="26" t="e">
        <f>#REF!*0.05*L46</f>
        <v>#REF!</v>
      </c>
      <c r="L46" s="26">
        <v>0</v>
      </c>
      <c r="M46" s="26"/>
      <c r="N46" s="26"/>
      <c r="O46" s="26">
        <v>1.5</v>
      </c>
      <c r="P46" s="26" t="e">
        <f t="shared" si="3"/>
        <v>#N/A</v>
      </c>
      <c r="Q46" s="26"/>
      <c r="R46" s="26">
        <v>1.5</v>
      </c>
      <c r="S46" s="26">
        <v>1104.83</v>
      </c>
      <c r="T46" s="26"/>
      <c r="U46" s="26"/>
      <c r="V46" s="26"/>
      <c r="W46" s="26"/>
      <c r="X46" s="26"/>
      <c r="Y46" s="26"/>
      <c r="Z46" s="26"/>
      <c r="AA46" s="26" t="s">
        <v>411</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412</v>
      </c>
      <c r="AT46" s="26" t="s">
        <v>413</v>
      </c>
      <c r="AU46" s="26"/>
      <c r="AV46" s="26"/>
      <c r="AW46" s="26"/>
      <c r="AX46" s="26"/>
      <c r="AY46" s="26"/>
      <c r="AZ46" s="26"/>
      <c r="BA46" s="26"/>
      <c r="BB46" s="26"/>
      <c r="BC46" s="26" t="s">
        <v>414</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415</v>
      </c>
      <c r="M47" s="26" t="e">
        <f>VLOOKUP(I31,טור12,2,0)</f>
        <v>#N/A</v>
      </c>
      <c r="N47" s="26"/>
      <c r="O47" s="26">
        <v>2</v>
      </c>
      <c r="P47" s="26" t="e">
        <f t="shared" si="3"/>
        <v>#N/A</v>
      </c>
      <c r="Q47" s="26"/>
      <c r="R47" s="26">
        <v>2</v>
      </c>
      <c r="S47" s="26">
        <v>1036.1400000000001</v>
      </c>
      <c r="T47" s="26"/>
      <c r="U47" s="26"/>
      <c r="V47" s="26"/>
      <c r="W47" s="26"/>
      <c r="X47" s="26"/>
      <c r="Y47" s="26"/>
      <c r="Z47" s="26" t="s">
        <v>416</v>
      </c>
      <c r="AA47" s="26"/>
      <c r="AB47" s="26"/>
      <c r="AC47" s="26"/>
      <c r="AD47" s="26"/>
      <c r="AE47" s="26"/>
      <c r="AF47" s="26" t="s">
        <v>417</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385</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300</v>
      </c>
      <c r="M48" s="26">
        <f>IF(H42=0,0,H44-M47)</f>
        <v>0</v>
      </c>
      <c r="N48" s="26"/>
      <c r="O48" s="26">
        <v>2.5</v>
      </c>
      <c r="P48" s="26" t="e">
        <f t="shared" si="3"/>
        <v>#N/A</v>
      </c>
      <c r="Q48" s="26"/>
      <c r="R48" s="26">
        <v>2.5</v>
      </c>
      <c r="S48" s="26">
        <v>952.99</v>
      </c>
      <c r="T48" s="26"/>
      <c r="U48" s="26"/>
      <c r="V48" s="26"/>
      <c r="W48" s="26"/>
      <c r="X48" s="26"/>
      <c r="Y48" s="26"/>
      <c r="Z48" s="26"/>
      <c r="AA48" s="26" t="s">
        <v>418</v>
      </c>
      <c r="AB48" s="26" t="e">
        <f>#REF!+(#REF!+#REF!+#REF!)/12</f>
        <v>#REF!</v>
      </c>
      <c r="AC48" s="26"/>
      <c r="AD48" s="26"/>
      <c r="AE48" s="26"/>
      <c r="AF48" s="26"/>
      <c r="AG48" s="26" t="s">
        <v>58</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419</v>
      </c>
      <c r="M49" s="26" t="e">
        <f>M47+M48</f>
        <v>#N/A</v>
      </c>
      <c r="N49" s="26"/>
      <c r="O49" s="26">
        <v>3</v>
      </c>
      <c r="P49" s="26" t="e">
        <f t="shared" si="3"/>
        <v>#N/A</v>
      </c>
      <c r="Q49" s="26"/>
      <c r="R49" s="26">
        <v>3</v>
      </c>
      <c r="S49" s="26">
        <v>869.86</v>
      </c>
      <c r="T49" s="26"/>
      <c r="U49" s="26"/>
      <c r="V49" s="26" t="s">
        <v>58</v>
      </c>
      <c r="W49" s="26"/>
      <c r="X49" s="26"/>
      <c r="Y49" s="26"/>
      <c r="Z49" s="26" t="e">
        <f>(1-#REF!/#REF!)*#REF!</f>
        <v>#REF!</v>
      </c>
      <c r="AA49" s="26" t="s">
        <v>420</v>
      </c>
      <c r="AB49" s="26" t="e">
        <f>#REF!+(#REF!+#REF!)/12</f>
        <v>#REF!</v>
      </c>
      <c r="AC49" s="26"/>
      <c r="AD49" s="26"/>
      <c r="AE49" s="26"/>
      <c r="AF49" s="26"/>
      <c r="AG49" s="26" t="s">
        <v>58</v>
      </c>
      <c r="AH49" s="26"/>
      <c r="AI49" s="26"/>
      <c r="AJ49" s="26"/>
      <c r="AK49" s="26"/>
      <c r="AL49" s="26"/>
      <c r="AM49" s="26"/>
      <c r="AN49" s="26"/>
      <c r="AO49" s="26"/>
      <c r="AP49" s="26"/>
      <c r="AQ49" s="26"/>
      <c r="AR49" s="26"/>
      <c r="AS49" s="26" t="s">
        <v>421</v>
      </c>
      <c r="AT49" s="26" t="s">
        <v>422</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423</v>
      </c>
      <c r="AB50" s="26" t="e">
        <f>#REF!</f>
        <v>#REF!</v>
      </c>
      <c r="AC50" s="26"/>
      <c r="AD50" s="26"/>
      <c r="AE50" s="26"/>
      <c r="AF50" s="26"/>
      <c r="AG50" s="26" t="s">
        <v>58</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58</v>
      </c>
      <c r="AB51" s="26"/>
      <c r="AC51" s="26"/>
      <c r="AD51" s="26"/>
      <c r="AE51" s="26"/>
      <c r="AF51" s="26"/>
      <c r="AG51" s="26" t="s">
        <v>58</v>
      </c>
      <c r="AH51" s="26"/>
      <c r="AI51" s="26"/>
      <c r="AJ51" s="26"/>
      <c r="AK51" s="26"/>
      <c r="AL51" s="26"/>
      <c r="AM51" s="26"/>
      <c r="AN51" s="26"/>
      <c r="AO51" s="26"/>
      <c r="AP51" s="26"/>
      <c r="AQ51" s="26"/>
      <c r="AR51" s="26"/>
      <c r="AS51" s="26" t="s">
        <v>424</v>
      </c>
      <c r="AT51" s="26" t="s">
        <v>425</v>
      </c>
      <c r="AU51" s="26"/>
      <c r="AV51" s="26"/>
      <c r="AW51" s="26"/>
      <c r="AX51" s="26"/>
      <c r="AY51" s="26"/>
      <c r="AZ51" s="26"/>
      <c r="BA51" s="26"/>
      <c r="BB51" s="26"/>
      <c r="BC51" s="26"/>
      <c r="BD51" s="26"/>
      <c r="BE51" s="26" t="s">
        <v>426</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427</v>
      </c>
      <c r="L53" s="26" t="s">
        <v>428</v>
      </c>
      <c r="M53" s="26"/>
      <c r="N53" s="26"/>
      <c r="O53" s="26">
        <v>5</v>
      </c>
      <c r="P53" s="26" t="e">
        <f t="shared" si="3"/>
        <v>#N/A</v>
      </c>
      <c r="Q53" s="26"/>
      <c r="R53" s="26">
        <v>5</v>
      </c>
      <c r="S53" s="26">
        <v>593.47</v>
      </c>
      <c r="T53" s="26"/>
      <c r="U53" s="26"/>
      <c r="V53" s="26"/>
      <c r="W53" s="26"/>
      <c r="X53" s="26"/>
      <c r="Y53" s="26"/>
      <c r="Z53" s="26"/>
      <c r="AA53" s="26" t="s">
        <v>429</v>
      </c>
      <c r="AB53" s="26"/>
      <c r="AC53" s="26" t="s">
        <v>423</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430</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431</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432</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58</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433</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274</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268</v>
      </c>
      <c r="K65" s="26" t="s">
        <v>434</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435</v>
      </c>
      <c r="BG65" s="26" t="s">
        <v>83</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0</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378</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436</v>
      </c>
      <c r="BG67" s="26" t="s">
        <v>114</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437</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406</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438</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439</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440</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441</v>
      </c>
      <c r="S71" s="26" t="s">
        <v>442</v>
      </c>
      <c r="T71" s="26" t="s">
        <v>9</v>
      </c>
      <c r="U71" s="26" t="s">
        <v>443</v>
      </c>
      <c r="V71" s="26" t="s">
        <v>444</v>
      </c>
      <c r="W71" s="26" t="s">
        <v>445</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446</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250</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375</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447</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0</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448</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0</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450</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452</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277</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58</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58</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453</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58</v>
      </c>
      <c r="AL90" s="26"/>
      <c r="AM90" s="26"/>
      <c r="AN90" s="26"/>
      <c r="AO90" s="26"/>
      <c r="AP90" s="26"/>
      <c r="AQ90" s="26"/>
      <c r="AR90" s="26"/>
      <c r="AS90" s="26"/>
      <c r="AT90" s="26"/>
      <c r="AU90" s="26"/>
      <c r="AV90" s="26"/>
      <c r="AW90" s="26"/>
      <c r="AX90" s="26"/>
      <c r="AY90" s="26" t="s">
        <v>454</v>
      </c>
      <c r="AZ90" s="26"/>
      <c r="BA90" s="26"/>
      <c r="BB90" s="26" t="e">
        <f>IF(BC90&gt;'[1]נתוני מס'!L28*'[1]נתוני מס'!M28,'[1]נתוני מס'!L28*'[1]נתוני מס'!M28,BC90)</f>
        <v>#REF!</v>
      </c>
      <c r="BC90" s="26" t="e">
        <f>((BG77-(Q26*AJ30*12+AJ33+#REF!+#REF!))*'[1]נתוני מס'!L28)/12</f>
        <v>#REF!</v>
      </c>
      <c r="BD90" s="26"/>
      <c r="BE90" s="26"/>
      <c r="BF90" s="26"/>
      <c r="BG90" s="26"/>
      <c r="BH90" s="26" t="s">
        <v>455</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456</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58</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457</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458</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459</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58</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460</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461</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462</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58</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463</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284</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58</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58</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464</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203</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58</v>
      </c>
      <c r="AB103" s="26" t="s">
        <v>58</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465</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466</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467</v>
      </c>
      <c r="R107" s="26" t="s">
        <v>468</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469</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470</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471</v>
      </c>
      <c r="R110" s="26" t="e">
        <f>#REF!</f>
        <v>#REF!</v>
      </c>
      <c r="S110" s="26" t="e">
        <f>#REF!</f>
        <v>#REF!</v>
      </c>
      <c r="T110" s="26"/>
      <c r="U110" s="26"/>
      <c r="V110" s="26" t="s">
        <v>449</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472</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473</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474</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475</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476</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477</v>
      </c>
      <c r="C139" s="26"/>
      <c r="D139" s="26"/>
      <c r="E139" s="26"/>
      <c r="F139" s="26"/>
      <c r="G139" s="26"/>
      <c r="H139" s="26" t="s">
        <v>478</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479</v>
      </c>
      <c r="C140" s="26" t="s">
        <v>480</v>
      </c>
      <c r="D140" s="26" t="s">
        <v>481</v>
      </c>
      <c r="E140" s="26" t="s">
        <v>482</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483</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484</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485</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486</v>
      </c>
      <c r="C144" s="26">
        <v>0.27</v>
      </c>
      <c r="D144" s="26">
        <v>0.37</v>
      </c>
      <c r="E144" s="26">
        <f>C144+12.5%</f>
        <v>0.39500000000000002</v>
      </c>
      <c r="F144" s="26">
        <f>IF(C14&gt;0,30*C9-3,30*C9)</f>
        <v>0.3</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487</v>
      </c>
      <c r="C145" s="26">
        <v>0.16</v>
      </c>
      <c r="D145" s="26"/>
      <c r="E145" s="26" t="s">
        <v>488</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489</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490</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491</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437</v>
      </c>
      <c r="H149" s="26" t="s">
        <v>492</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70</v>
      </c>
      <c r="C150" s="26">
        <v>156.88</v>
      </c>
      <c r="D150" s="26" t="s">
        <v>73</v>
      </c>
      <c r="E150" s="26"/>
      <c r="F150" s="26"/>
      <c r="G150" s="26" t="s">
        <v>438</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451</v>
      </c>
      <c r="C151" s="26">
        <v>174.47</v>
      </c>
      <c r="D151" s="26" t="s">
        <v>209</v>
      </c>
      <c r="E151" s="26" t="e">
        <f>(VLOOKUP($I$32,O45:P61,2,0))</f>
        <v>#N/A</v>
      </c>
      <c r="F151" s="26"/>
      <c r="G151" s="26" t="s">
        <v>493</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249</v>
      </c>
      <c r="E152" s="26">
        <v>1</v>
      </c>
      <c r="F152" s="26"/>
      <c r="G152" s="26"/>
      <c r="H152" s="26" t="s">
        <v>494</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277</v>
      </c>
      <c r="H153" s="26">
        <f>AA35/12</f>
        <v>0</v>
      </c>
      <c r="I153" s="26" t="s">
        <v>495</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496</v>
      </c>
      <c r="C154" s="26"/>
      <c r="D154" s="26">
        <v>5571</v>
      </c>
      <c r="E154" s="26"/>
      <c r="F154" s="26">
        <v>0</v>
      </c>
      <c r="G154" s="26">
        <v>1</v>
      </c>
      <c r="H154" s="26">
        <f>IF(ABS(BG61-AP31+AY29)&lt;0.26,0,BG61-AP31+AY29)</f>
        <v>112.67</v>
      </c>
      <c r="I154" s="26" t="s">
        <v>58</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497</v>
      </c>
      <c r="C155" s="26" t="s">
        <v>70</v>
      </c>
      <c r="D155" s="26" t="e">
        <f>(VLOOKUP($I$32,R45:S61,2,0))</f>
        <v>#N/A</v>
      </c>
      <c r="E155" s="26"/>
      <c r="F155" s="26">
        <v>0</v>
      </c>
      <c r="G155" s="26">
        <v>1.5</v>
      </c>
      <c r="H155" s="26">
        <f>(ROUND((ROUND((AK25-AQ22)/365.25,4))*12,2)/12)</f>
        <v>32.415833333333332</v>
      </c>
      <c r="I155" s="26" t="s">
        <v>58</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58</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58</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498</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499</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500</v>
      </c>
      <c r="D162" s="26">
        <v>5</v>
      </c>
      <c r="E162" s="26"/>
      <c r="F162" s="26"/>
      <c r="G162" s="26">
        <v>5</v>
      </c>
      <c r="H162" s="26" t="s">
        <v>501</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502</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503</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504</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505</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506</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507</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70</v>
      </c>
      <c r="C169" s="26" t="s">
        <v>508</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509</v>
      </c>
      <c r="D170" s="26"/>
      <c r="E170" s="26"/>
      <c r="F170" s="26"/>
      <c r="G170" s="26">
        <v>9</v>
      </c>
      <c r="H170" s="26" t="s">
        <v>58</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510</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511</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58</v>
      </c>
      <c r="C173" s="26"/>
      <c r="D173" s="26"/>
      <c r="E173" s="26"/>
      <c r="F173" s="26" t="s">
        <v>197</v>
      </c>
      <c r="G173" s="26"/>
      <c r="H173" s="26" t="s">
        <v>512</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513</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514</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515</v>
      </c>
      <c r="D177" s="26" t="s">
        <v>58</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516</v>
      </c>
      <c r="D178" s="26" t="s">
        <v>517</v>
      </c>
      <c r="E178" s="26"/>
      <c r="F178" s="26" t="s">
        <v>518</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476</v>
      </c>
      <c r="D179" s="26" t="s">
        <v>519</v>
      </c>
      <c r="E179" s="26"/>
      <c r="F179" s="26" t="s">
        <v>520</v>
      </c>
      <c r="G179" s="26" t="e">
        <f>#REF!</f>
        <v>#REF!</v>
      </c>
      <c r="H179" s="26"/>
      <c r="I179" s="26" t="s">
        <v>58</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521</v>
      </c>
      <c r="D180" s="26" t="s">
        <v>475</v>
      </c>
      <c r="E180" s="26"/>
      <c r="F180" s="26" t="s">
        <v>522</v>
      </c>
      <c r="G180" s="26">
        <f>G202</f>
        <v>52.87</v>
      </c>
      <c r="H180" s="26"/>
      <c r="I180" s="26" t="s">
        <v>58</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523</v>
      </c>
      <c r="D181" s="26" t="s">
        <v>524</v>
      </c>
      <c r="E181" s="26"/>
      <c r="F181" s="26"/>
      <c r="G181" s="26" t="s">
        <v>525</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526</v>
      </c>
      <c r="D182" s="26" t="s">
        <v>527</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528</v>
      </c>
      <c r="D183" s="26" t="s">
        <v>478</v>
      </c>
      <c r="E183" s="26"/>
      <c r="F183" s="26" t="e">
        <f>#REF!/#REF!*F187</f>
        <v>#REF!</v>
      </c>
      <c r="G183" s="26" t="s">
        <v>529</v>
      </c>
      <c r="H183" s="26"/>
      <c r="I183" s="26"/>
      <c r="J183" s="26" t="s">
        <v>58</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530</v>
      </c>
      <c r="D184" s="26"/>
      <c r="E184" s="26"/>
      <c r="F184" s="26" t="e">
        <f>#REF!/#REF!*F187</f>
        <v>#REF!</v>
      </c>
      <c r="G184" s="26" t="s">
        <v>531</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532</v>
      </c>
      <c r="E185" s="26"/>
      <c r="F185" s="26" t="e">
        <f>#REF!/#REF!*F187</f>
        <v>#REF!</v>
      </c>
      <c r="G185" s="26" t="s">
        <v>533</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534</v>
      </c>
      <c r="C186" s="26" t="str">
        <f>C5</f>
        <v>ב"א</v>
      </c>
      <c r="D186" s="26"/>
      <c r="E186" s="26"/>
      <c r="F186" s="26" t="e">
        <f>#REF!/#REF!*F187</f>
        <v>#REF!</v>
      </c>
      <c r="G186" s="26" t="s">
        <v>535</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536</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537</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538</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539</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540</v>
      </c>
      <c r="C193" s="26" t="s">
        <v>541</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542</v>
      </c>
      <c r="D194" s="26" t="s">
        <v>58</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543</v>
      </c>
      <c r="D195" s="26" t="s">
        <v>58</v>
      </c>
      <c r="E195" s="26"/>
      <c r="F195" s="26"/>
      <c r="G195" s="26" t="s">
        <v>544</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545</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546</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547</v>
      </c>
      <c r="D198" s="26" t="e">
        <f>IF(#REF!=0,#REF!,TRUNC(#REF!,2)&amp; "  :מספר משכורות")</f>
        <v>#REF!</v>
      </c>
      <c r="E198" s="26"/>
      <c r="F198" s="26" t="s">
        <v>58</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548</v>
      </c>
      <c r="D199" s="26" t="s">
        <v>549</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550</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551</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552</v>
      </c>
      <c r="D203" s="26"/>
      <c r="E203" s="26"/>
      <c r="F203" s="26" t="s">
        <v>553</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554</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555</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556</v>
      </c>
      <c r="C206" s="26"/>
      <c r="D206" s="26"/>
      <c r="E206" s="26"/>
      <c r="F206" s="26">
        <v>0</v>
      </c>
      <c r="G206" s="26"/>
      <c r="H206" s="26"/>
      <c r="I206" s="26" t="s">
        <v>61</v>
      </c>
      <c r="J206" s="26" t="s">
        <v>557</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558</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58</v>
      </c>
      <c r="C208" s="26" t="s">
        <v>559</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58</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544</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58</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560</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561</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58</v>
      </c>
      <c r="C234" s="26" t="s">
        <v>562</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54</v>
      </c>
      <c r="S704" s="26">
        <f>IF(BB770-INT(BB770)=0.5,1,0)</f>
        <v>0</v>
      </c>
      <c r="T704" s="26">
        <f>IF(S704=0,0,IF(BB770&lt;=7,3.75,4.25))</f>
        <v>0</v>
      </c>
      <c r="U704" s="26"/>
      <c r="V704" s="26" t="s">
        <v>55</v>
      </c>
      <c r="W704" s="26"/>
      <c r="X704" s="26"/>
      <c r="Y704" s="26"/>
      <c r="Z704" s="26"/>
      <c r="AA704" s="26"/>
      <c r="AB704" s="26"/>
      <c r="AC704" s="26"/>
      <c r="AD704" s="26"/>
      <c r="AE704" s="26"/>
      <c r="AF704" s="26"/>
      <c r="AG704" s="26"/>
      <c r="AH704" s="26"/>
      <c r="AI704" s="26" t="s">
        <v>56</v>
      </c>
      <c r="AJ704" s="26"/>
      <c r="AK704" s="26"/>
      <c r="AL704" s="26"/>
      <c r="AM704" s="26"/>
      <c r="AN704" s="26"/>
      <c r="AO704" s="26"/>
      <c r="AP704" s="26"/>
      <c r="AQ704" s="26"/>
      <c r="AR704" s="26"/>
      <c r="AS704" s="26"/>
      <c r="AT704" s="26"/>
      <c r="AU704" s="26"/>
      <c r="AV704" s="26" t="s">
        <v>57</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62</v>
      </c>
      <c r="P705" s="26" t="s">
        <v>27</v>
      </c>
      <c r="Q705" s="26"/>
      <c r="R705" s="26" t="s">
        <v>63</v>
      </c>
      <c r="S705" s="26">
        <v>0.03</v>
      </c>
      <c r="T705" s="26">
        <f>1+(T704/100)</f>
        <v>1</v>
      </c>
      <c r="U705" s="26"/>
      <c r="V705" s="26">
        <v>0</v>
      </c>
      <c r="W705" s="26">
        <v>0</v>
      </c>
      <c r="X705" s="26"/>
      <c r="Y705" s="26" t="s">
        <v>64</v>
      </c>
      <c r="Z705" s="26"/>
      <c r="AA705" s="26"/>
      <c r="AB705" s="26"/>
      <c r="AC705" s="26"/>
      <c r="AD705" s="26"/>
      <c r="AE705" s="26"/>
      <c r="AF705" s="26"/>
      <c r="AG705" s="26"/>
      <c r="AH705" s="26"/>
      <c r="AI705" s="26" t="s">
        <v>65</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69</v>
      </c>
      <c r="P706" s="26" t="s">
        <v>70</v>
      </c>
      <c r="Q706" s="26"/>
      <c r="R706" s="26" t="s">
        <v>71</v>
      </c>
      <c r="S706" s="26">
        <v>4.8099999999999997E-2</v>
      </c>
      <c r="T706" s="26"/>
      <c r="U706" s="26"/>
      <c r="V706" s="26">
        <v>1</v>
      </c>
      <c r="W706" s="26">
        <v>0.47499999999999998</v>
      </c>
      <c r="X706" s="26" t="s">
        <v>58</v>
      </c>
      <c r="Y706" s="26">
        <v>0.09</v>
      </c>
      <c r="Z706" s="26" t="s">
        <v>72</v>
      </c>
      <c r="AA706" s="26"/>
      <c r="AB706" s="26"/>
      <c r="AC706" s="26"/>
      <c r="AD706" s="26"/>
      <c r="AE706" s="26" t="s">
        <v>496</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74</v>
      </c>
      <c r="P707" s="26" t="s">
        <v>75</v>
      </c>
      <c r="Q707" s="26"/>
      <c r="R707" s="26"/>
      <c r="S707" s="26"/>
      <c r="T707" s="26"/>
      <c r="U707" s="26"/>
      <c r="V707" s="26">
        <v>2</v>
      </c>
      <c r="W707" s="26">
        <v>0.495</v>
      </c>
      <c r="X707" s="26" t="s">
        <v>58</v>
      </c>
      <c r="Y707" s="26">
        <v>8.2500000000000004E-2</v>
      </c>
      <c r="Z707" s="26" t="s">
        <v>76</v>
      </c>
      <c r="AA707" s="26"/>
      <c r="AB707" s="26"/>
      <c r="AC707" s="26"/>
      <c r="AD707" s="26"/>
      <c r="AE707" s="26" t="s">
        <v>156</v>
      </c>
      <c r="AF707" s="26" t="s">
        <v>70</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58</v>
      </c>
      <c r="Y708" s="26">
        <v>7.4999999999999997E-2</v>
      </c>
      <c r="Z708" s="26" t="s">
        <v>79</v>
      </c>
      <c r="AA708" s="26"/>
      <c r="AB708" s="26"/>
      <c r="AC708" s="26"/>
      <c r="AD708" s="26"/>
      <c r="AE708" s="26" t="s">
        <v>196</v>
      </c>
      <c r="AF708" s="26" t="s">
        <v>70</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83</v>
      </c>
      <c r="T709" s="26"/>
      <c r="U709" s="26"/>
      <c r="V709" s="26">
        <v>4</v>
      </c>
      <c r="W709" s="26">
        <v>0.53</v>
      </c>
      <c r="X709" s="26" t="s">
        <v>58</v>
      </c>
      <c r="Y709" s="26">
        <v>6.7500000000000004E-2</v>
      </c>
      <c r="Z709" s="26" t="s">
        <v>84</v>
      </c>
      <c r="AA709" s="26"/>
      <c r="AB709" s="26"/>
      <c r="AC709" s="26"/>
      <c r="AD709" s="26"/>
      <c r="AE709" s="26" t="s">
        <v>563</v>
      </c>
      <c r="AF709" s="26" t="s">
        <v>70</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65.77</v>
      </c>
      <c r="P710" s="26" t="s">
        <v>88</v>
      </c>
      <c r="Q710" s="26">
        <f>ROUND((AF735-AT720)/365.25,2)</f>
        <v>0.36</v>
      </c>
      <c r="R710" s="26"/>
      <c r="S710" s="26" t="s">
        <v>6</v>
      </c>
      <c r="T710" s="26"/>
      <c r="U710" s="26"/>
      <c r="V710" s="26">
        <v>5</v>
      </c>
      <c r="W710" s="26">
        <v>0.54500000000000004</v>
      </c>
      <c r="X710" s="26" t="s">
        <v>58</v>
      </c>
      <c r="Y710" s="26">
        <v>0.06</v>
      </c>
      <c r="Z710" s="26" t="s">
        <v>89</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-5.769999999999996</v>
      </c>
      <c r="P711" s="26" t="s">
        <v>95</v>
      </c>
      <c r="Q711" s="26">
        <f ca="1">Q710+O711</f>
        <v>-5.4099999999999957</v>
      </c>
      <c r="R711" s="26"/>
      <c r="S711" s="26" t="s">
        <v>96</v>
      </c>
      <c r="T711" s="26"/>
      <c r="U711" s="26"/>
      <c r="V711" s="26">
        <v>6</v>
      </c>
      <c r="W711" s="26">
        <v>0.56499999999999995</v>
      </c>
      <c r="X711" s="26" t="s">
        <v>58</v>
      </c>
      <c r="Y711" s="26">
        <v>5.2499999999999998E-2</v>
      </c>
      <c r="Z711" s="26" t="s">
        <v>97</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564</v>
      </c>
      <c r="BD711" s="26" t="s">
        <v>70</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27.230000000000004</v>
      </c>
      <c r="P712" s="26" t="s">
        <v>103</v>
      </c>
      <c r="Q712" s="26">
        <f>E928</f>
        <v>0</v>
      </c>
      <c r="R712" s="26" t="s">
        <v>104</v>
      </c>
      <c r="S712" s="26" t="s">
        <v>105</v>
      </c>
      <c r="T712" s="26"/>
      <c r="U712" s="26"/>
      <c r="V712" s="26">
        <v>7</v>
      </c>
      <c r="W712" s="26">
        <v>0.58499999999999996</v>
      </c>
      <c r="X712" s="26" t="s">
        <v>58</v>
      </c>
      <c r="Y712" s="26">
        <v>4.4999999999999998E-2</v>
      </c>
      <c r="Z712" s="26" t="s">
        <v>106</v>
      </c>
      <c r="AA712" s="26"/>
      <c r="AB712" s="26"/>
      <c r="AC712" s="26"/>
      <c r="AD712" s="26"/>
      <c r="AE712" s="26"/>
      <c r="AF712" s="26"/>
      <c r="AG712" s="26"/>
      <c r="AH712" s="26"/>
      <c r="AI712" s="26">
        <v>4</v>
      </c>
      <c r="AJ712" s="26" t="s">
        <v>58</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113</v>
      </c>
      <c r="T713" s="26"/>
      <c r="U713" s="26"/>
      <c r="V713" s="26">
        <v>8</v>
      </c>
      <c r="W713" s="26">
        <v>0.6</v>
      </c>
      <c r="X713" s="26"/>
      <c r="Y713" s="26">
        <v>0</v>
      </c>
      <c r="Z713" s="26" t="s">
        <v>114</v>
      </c>
      <c r="AA713" s="26"/>
      <c r="AB713" s="26"/>
      <c r="AC713" s="26"/>
      <c r="AD713" s="26"/>
      <c r="AE713" s="26"/>
      <c r="AF713" s="26"/>
      <c r="AG713" s="26"/>
      <c r="AH713" s="26"/>
      <c r="AI713" s="26">
        <v>4.5</v>
      </c>
      <c r="AJ713" s="26" t="s">
        <v>58</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58</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58</v>
      </c>
      <c r="U715" s="26"/>
      <c r="V715" s="26">
        <v>1</v>
      </c>
      <c r="W715" s="26">
        <v>0.63500000000000001</v>
      </c>
      <c r="X715" s="26"/>
      <c r="Y715" s="26"/>
      <c r="Z715" s="26"/>
      <c r="AA715" s="26"/>
      <c r="AB715" s="26"/>
      <c r="AC715" s="26"/>
      <c r="AD715" s="26"/>
      <c r="AE715" s="26"/>
      <c r="AF715" s="26"/>
      <c r="AG715" s="26"/>
      <c r="AH715" s="26"/>
      <c r="AI715" s="26">
        <v>5.5</v>
      </c>
      <c r="AJ715" s="26" t="s">
        <v>58</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124</v>
      </c>
      <c r="BV715" s="26" t="s">
        <v>125</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129</v>
      </c>
      <c r="T716" s="26">
        <v>0.05</v>
      </c>
      <c r="U716" s="26"/>
      <c r="V716" s="26">
        <v>11</v>
      </c>
      <c r="W716" s="26">
        <v>0.66</v>
      </c>
      <c r="X716" s="26"/>
      <c r="Y716" s="26" t="s">
        <v>130</v>
      </c>
      <c r="Z716" s="26">
        <v>0</v>
      </c>
      <c r="AA716" s="26"/>
      <c r="AB716" s="26"/>
      <c r="AC716" s="26"/>
      <c r="AD716" s="26"/>
      <c r="AE716" s="26"/>
      <c r="AF716" s="26"/>
      <c r="AG716" s="26"/>
      <c r="AH716" s="26"/>
      <c r="AI716" s="26">
        <v>6</v>
      </c>
      <c r="AJ716" s="26" t="s">
        <v>58</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134</v>
      </c>
      <c r="T717" s="26">
        <v>0.10249999999999999</v>
      </c>
      <c r="U717" s="26"/>
      <c r="V717" s="26">
        <v>12</v>
      </c>
      <c r="W717" s="26">
        <v>0.68</v>
      </c>
      <c r="X717" s="26"/>
      <c r="Y717" s="26" t="s">
        <v>135</v>
      </c>
      <c r="Z717" s="26">
        <f>W754</f>
        <v>1</v>
      </c>
      <c r="AA717" s="26"/>
      <c r="AB717" s="26"/>
      <c r="AC717" s="26">
        <v>5</v>
      </c>
      <c r="AD717" s="26"/>
      <c r="AE717" s="26" t="s">
        <v>136</v>
      </c>
      <c r="AF717" s="26"/>
      <c r="AG717" s="26" t="e">
        <f>#REF!</f>
        <v>#REF!</v>
      </c>
      <c r="AH717" s="26"/>
      <c r="AI717" s="26">
        <v>6.5</v>
      </c>
      <c r="AJ717" s="26" t="s">
        <v>58</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137</v>
      </c>
      <c r="BV717" s="26" t="s">
        <v>138</v>
      </c>
      <c r="BW717" s="26" t="s">
        <v>139</v>
      </c>
      <c r="BX717" s="26"/>
      <c r="BY717" s="26"/>
      <c r="BZ717" s="26"/>
      <c r="CA717" s="26"/>
      <c r="CB717" s="26"/>
      <c r="CC717" s="26" t="s">
        <v>140</v>
      </c>
      <c r="CD717" s="26"/>
      <c r="CE717" s="26"/>
      <c r="CF717" s="26"/>
      <c r="CG717" s="26" t="s">
        <v>141</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58</v>
      </c>
      <c r="AQ718" s="26">
        <f>BB771+BB772</f>
        <v>33</v>
      </c>
      <c r="AR718" s="26">
        <f>IF(AR719=0,0,1)</f>
        <v>1</v>
      </c>
      <c r="AS718" s="26"/>
      <c r="AT718" s="26"/>
      <c r="AU718" s="26" t="s">
        <v>58</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150</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58</v>
      </c>
      <c r="AV719" s="26">
        <v>14</v>
      </c>
      <c r="AW719" s="26">
        <v>0.312</v>
      </c>
      <c r="AX719" s="26"/>
      <c r="AY719" s="26"/>
      <c r="AZ719" s="26"/>
      <c r="BA719" s="26"/>
      <c r="BB719" s="26"/>
      <c r="BC719" s="26"/>
      <c r="BD719" s="26"/>
      <c r="BE719" s="26"/>
      <c r="BF719" s="26" t="s">
        <v>151</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565</v>
      </c>
      <c r="CC719" s="26" t="s">
        <v>13</v>
      </c>
      <c r="CD719" s="26" t="s">
        <v>14</v>
      </c>
      <c r="CE719" s="26" t="s">
        <v>15</v>
      </c>
      <c r="CF719" s="26" t="s">
        <v>16</v>
      </c>
      <c r="CG719" s="26" t="s">
        <v>443</v>
      </c>
      <c r="CH719" s="26" t="s">
        <v>566</v>
      </c>
      <c r="CI719" s="26" t="s">
        <v>140</v>
      </c>
      <c r="CJ719" s="26" t="s">
        <v>567</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155</v>
      </c>
      <c r="T720" s="26">
        <v>0</v>
      </c>
      <c r="U720" s="26" t="e">
        <f>M747*1.2%*#REF!</f>
        <v>#REF!</v>
      </c>
      <c r="V720" s="26" t="s">
        <v>155</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157</v>
      </c>
      <c r="AP720" s="26">
        <v>39844</v>
      </c>
      <c r="AQ720" s="26">
        <v>8</v>
      </c>
      <c r="AR720" s="26">
        <v>8.5</v>
      </c>
      <c r="AS720" s="26" t="s">
        <v>158</v>
      </c>
      <c r="AT720" s="26">
        <v>40442</v>
      </c>
      <c r="AU720" s="26"/>
      <c r="AV720" s="26"/>
      <c r="AW720" s="26"/>
      <c r="AX720" s="26" t="str">
        <f ca="1">"06/"&amp;MID(AY720,1,4)</f>
        <v>06/2016</v>
      </c>
      <c r="AY720" s="26">
        <f ca="1">YEAR(AQ719+I775)+AR718</f>
        <v>2016</v>
      </c>
      <c r="AZ720" s="26" t="s">
        <v>159</v>
      </c>
      <c r="BA720" s="26"/>
      <c r="BB720" s="26"/>
      <c r="BC720" s="26"/>
      <c r="BD720" s="26">
        <v>15</v>
      </c>
      <c r="BE720" s="26">
        <v>0.33600000000000002</v>
      </c>
      <c r="BF720" s="26"/>
      <c r="BG720" s="26"/>
      <c r="BH720" s="26" t="s">
        <v>160</v>
      </c>
      <c r="BI720" s="26" t="s">
        <v>161</v>
      </c>
      <c r="BJ720" s="26" t="s">
        <v>162</v>
      </c>
      <c r="BK720" s="26"/>
      <c r="BL720" s="26"/>
      <c r="BM720" s="26"/>
      <c r="BN720" s="26" t="s">
        <v>163</v>
      </c>
      <c r="BO720" s="26">
        <f>E111</f>
        <v>0</v>
      </c>
      <c r="BP720" s="26"/>
      <c r="BQ720" s="26"/>
      <c r="BR720" s="26"/>
      <c r="BS720" s="26"/>
      <c r="BT720" s="26" t="s">
        <v>164</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58</v>
      </c>
      <c r="Z721" s="26"/>
      <c r="AA721" s="26" t="e">
        <f>1-#REF!/(#REF!+#REF!)</f>
        <v>#REF!</v>
      </c>
      <c r="AB721" s="26"/>
      <c r="AC721" s="26"/>
      <c r="AD721" s="26"/>
      <c r="AE721" s="26"/>
      <c r="AF721" s="26"/>
      <c r="AG721" s="26" t="s">
        <v>167</v>
      </c>
      <c r="AH721" s="26">
        <v>39872</v>
      </c>
      <c r="AI721" s="26">
        <v>8.5</v>
      </c>
      <c r="AJ721" s="26">
        <v>9</v>
      </c>
      <c r="AK721" s="26"/>
      <c r="AL721" s="26"/>
      <c r="AM721" s="26"/>
      <c r="AN721" s="26" t="s">
        <v>168</v>
      </c>
      <c r="AO721" s="26"/>
      <c r="AP721" s="26"/>
      <c r="AQ721" s="26"/>
      <c r="AR721" s="26"/>
      <c r="AS721" s="26"/>
      <c r="AT721" s="26" t="s">
        <v>169</v>
      </c>
      <c r="AU721" s="26"/>
      <c r="AV721" s="26">
        <v>16</v>
      </c>
      <c r="AW721" s="26">
        <v>0.36</v>
      </c>
      <c r="AX721" s="26"/>
      <c r="AY721" s="26"/>
      <c r="AZ721" s="26" t="s">
        <v>170</v>
      </c>
      <c r="BA721" s="26" t="s">
        <v>170</v>
      </c>
      <c r="BB721" s="26" t="s">
        <v>171</v>
      </c>
      <c r="BC721" s="26" t="s">
        <v>172</v>
      </c>
      <c r="BD721" s="26" t="s">
        <v>173</v>
      </c>
      <c r="BE721" s="26" t="s">
        <v>174</v>
      </c>
      <c r="BF721" s="26" t="s">
        <v>175</v>
      </c>
      <c r="BG721" s="26"/>
      <c r="BH721" s="26"/>
      <c r="BI721" s="26"/>
      <c r="BJ721" s="26"/>
      <c r="BK721" s="26"/>
      <c r="BL721" s="26">
        <v>1114297</v>
      </c>
      <c r="BM721" s="26"/>
      <c r="BN721" s="26" t="s">
        <v>176</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58</v>
      </c>
      <c r="R722" s="26"/>
      <c r="S722" s="26"/>
      <c r="T722" s="26"/>
      <c r="U722" s="26"/>
      <c r="V722" s="26" t="s">
        <v>183</v>
      </c>
      <c r="W722" s="26">
        <v>5</v>
      </c>
      <c r="X722" s="26"/>
      <c r="Y722" s="26"/>
      <c r="Z722" s="26" t="s">
        <v>58</v>
      </c>
      <c r="AA722" s="26" t="s">
        <v>58</v>
      </c>
      <c r="AB722" s="26" t="s">
        <v>184</v>
      </c>
      <c r="AC722" s="26"/>
      <c r="AD722" s="26"/>
      <c r="AE722" s="26"/>
      <c r="AF722" s="26"/>
      <c r="AG722" s="26" t="s">
        <v>185</v>
      </c>
      <c r="AH722" s="26">
        <v>39903</v>
      </c>
      <c r="AI722" s="26">
        <v>9</v>
      </c>
      <c r="AJ722" s="26" t="s">
        <v>186</v>
      </c>
      <c r="AK722" s="26" t="s">
        <v>101</v>
      </c>
      <c r="AL722" s="26" t="s">
        <v>187</v>
      </c>
      <c r="AM722" s="26">
        <f>'[1]נתוני מס'!I22</f>
        <v>395</v>
      </c>
      <c r="AN722" s="26">
        <v>10</v>
      </c>
      <c r="AO722" s="26"/>
      <c r="AP722" s="26" t="s">
        <v>188</v>
      </c>
      <c r="AQ722" s="26"/>
      <c r="AR722" s="26"/>
      <c r="AS722" s="26"/>
      <c r="AT722" s="26">
        <f>AL723</f>
        <v>21262</v>
      </c>
      <c r="AU722" s="26" t="s">
        <v>189</v>
      </c>
      <c r="AV722" s="26" t="s">
        <v>190</v>
      </c>
      <c r="AW722" s="26">
        <f>VLOOKUP(BB779,nihool,2,FALSE)</f>
        <v>0</v>
      </c>
      <c r="AX722" s="26"/>
      <c r="AY722" s="26"/>
      <c r="AZ722" s="26" t="s">
        <v>175</v>
      </c>
      <c r="BA722" s="26" t="s">
        <v>191</v>
      </c>
      <c r="BB722" s="26" t="e">
        <f>#REF!/12</f>
        <v>#REF!</v>
      </c>
      <c r="BC722" s="26" t="e">
        <f>G966</f>
        <v>#REF!</v>
      </c>
      <c r="BD722" s="26" t="e">
        <f>#REF!/12-BE812</f>
        <v>#REF!</v>
      </c>
      <c r="BE722" s="26" t="e">
        <f>(12*(E946-L807)+BB787)/12</f>
        <v>#REF!</v>
      </c>
      <c r="BF722" s="26" t="e">
        <f>(#REF!*((12-BE741/12))+BB787/12*BE742)/12+E111+BE723*((12-BE742)/12)</f>
        <v>#REF!</v>
      </c>
      <c r="BG722" s="26"/>
      <c r="BH722" s="26"/>
      <c r="BI722" s="26" t="s">
        <v>192</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568</v>
      </c>
      <c r="T723" s="26"/>
      <c r="U723" s="26"/>
      <c r="V723" s="26"/>
      <c r="W723" s="26"/>
      <c r="X723" s="26"/>
      <c r="Y723" s="26" t="s">
        <v>197</v>
      </c>
      <c r="Z723" s="26" t="s">
        <v>58</v>
      </c>
      <c r="AA723" s="26" t="s">
        <v>58</v>
      </c>
      <c r="AB723" s="26" t="s">
        <v>198</v>
      </c>
      <c r="AC723" s="26"/>
      <c r="AD723" s="26"/>
      <c r="AE723" s="26" t="s">
        <v>199</v>
      </c>
      <c r="AF723" s="26"/>
      <c r="AG723" s="26" t="s">
        <v>200</v>
      </c>
      <c r="AH723" s="26">
        <v>39933</v>
      </c>
      <c r="AI723" s="26"/>
      <c r="AJ723" s="26"/>
      <c r="AK723" s="26" t="s">
        <v>189</v>
      </c>
      <c r="AL723" s="26">
        <v>21262</v>
      </c>
      <c r="AM723" s="26"/>
      <c r="AN723" s="26" t="s">
        <v>201</v>
      </c>
      <c r="AO723" s="26"/>
      <c r="AP723" s="26">
        <v>0</v>
      </c>
      <c r="AQ723" s="26"/>
      <c r="AR723" s="26"/>
      <c r="AS723" s="26"/>
      <c r="AT723" s="26"/>
      <c r="AU723" s="26"/>
      <c r="AV723" s="26" t="s">
        <v>202</v>
      </c>
      <c r="AW723" s="26">
        <f>VLOOKUP(G102,nihool,2,FALSE)</f>
        <v>0</v>
      </c>
      <c r="AX723" s="26"/>
      <c r="AY723" s="26"/>
      <c r="AZ723" s="26" t="e">
        <f>#REF!/12/#REF!+G966+E111-BE812</f>
        <v>#REF!</v>
      </c>
      <c r="BA723" s="26" t="e">
        <f>#REF!/12+G966+E111-BE812</f>
        <v>#REF!</v>
      </c>
      <c r="BB723" s="26" t="s">
        <v>203</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204</v>
      </c>
      <c r="BQ723" s="26"/>
      <c r="BR723" s="26"/>
      <c r="BS723" s="26"/>
      <c r="BT723" s="26"/>
      <c r="BU723" s="26" t="s">
        <v>205</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569</v>
      </c>
      <c r="T724" s="26"/>
      <c r="U724" s="26"/>
      <c r="V724" s="26" t="s">
        <v>211</v>
      </c>
      <c r="W724" s="26" t="s">
        <v>199</v>
      </c>
      <c r="X724" s="26"/>
      <c r="Y724" s="26" t="s">
        <v>27</v>
      </c>
      <c r="Z724" s="26" t="s">
        <v>58</v>
      </c>
      <c r="AA724" s="26" t="s">
        <v>58</v>
      </c>
      <c r="AB724" s="26" t="s">
        <v>212</v>
      </c>
      <c r="AC724" s="26"/>
      <c r="AD724" s="26"/>
      <c r="AE724" s="26"/>
      <c r="AF724" s="26"/>
      <c r="AG724" s="26" t="s">
        <v>213</v>
      </c>
      <c r="AH724" s="26">
        <v>39964</v>
      </c>
      <c r="AI724" s="26"/>
      <c r="AJ724" s="26"/>
      <c r="AK724" s="26" t="s">
        <v>214</v>
      </c>
      <c r="AL724" s="26" t="s">
        <v>215</v>
      </c>
      <c r="AM724" s="26"/>
      <c r="AN724" s="26">
        <v>11</v>
      </c>
      <c r="AO724" s="26"/>
      <c r="AP724" s="26">
        <v>0.5</v>
      </c>
      <c r="AQ724" s="26"/>
      <c r="AR724" s="26"/>
      <c r="AS724" s="26" t="s">
        <v>58</v>
      </c>
      <c r="AT724" s="26">
        <v>17288</v>
      </c>
      <c r="AU724" s="26">
        <v>17288</v>
      </c>
      <c r="AV724" s="26"/>
      <c r="AW724" s="26" t="s">
        <v>216</v>
      </c>
      <c r="AX724" s="26"/>
      <c r="AY724" s="26"/>
      <c r="AZ724" s="26" t="s">
        <v>217</v>
      </c>
      <c r="BA724" s="26"/>
      <c r="BB724" s="26"/>
      <c r="BC724" s="26" t="s">
        <v>218</v>
      </c>
      <c r="BD724" s="26" t="s">
        <v>219</v>
      </c>
      <c r="BE724" s="26" t="s">
        <v>172</v>
      </c>
      <c r="BF724" s="26" t="s">
        <v>220</v>
      </c>
      <c r="BG724" s="26" t="s">
        <v>221</v>
      </c>
      <c r="BH724" s="26" t="s">
        <v>222</v>
      </c>
      <c r="BI724" s="26" t="s">
        <v>223</v>
      </c>
      <c r="BJ724" s="26"/>
      <c r="BK724" s="26" t="s">
        <v>224</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570</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571</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572</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229</v>
      </c>
      <c r="W732" s="26"/>
      <c r="X732" s="26"/>
      <c r="Y732" s="26"/>
      <c r="Z732" s="26" t="s">
        <v>58</v>
      </c>
      <c r="AA732" s="26" t="s">
        <v>58</v>
      </c>
      <c r="AB732" s="26" t="s">
        <v>230</v>
      </c>
      <c r="AC732" s="26" t="s">
        <v>58</v>
      </c>
      <c r="AD732" s="26"/>
      <c r="AE732" s="26" t="s">
        <v>231</v>
      </c>
      <c r="AF732" s="26"/>
      <c r="AG732" s="26" t="s">
        <v>232</v>
      </c>
      <c r="AH732" s="26">
        <v>39994</v>
      </c>
      <c r="AI732" s="26"/>
      <c r="AJ732" s="26"/>
      <c r="AK732" s="26" t="s">
        <v>233</v>
      </c>
      <c r="AL732" s="26">
        <v>28734</v>
      </c>
      <c r="AM732" s="26"/>
      <c r="AN732" s="26" t="s">
        <v>234</v>
      </c>
      <c r="AO732" s="26"/>
      <c r="AP732" s="26">
        <v>1</v>
      </c>
      <c r="AQ732" s="26"/>
      <c r="AR732" s="26"/>
      <c r="AS732" s="26" t="s">
        <v>58</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238</v>
      </c>
      <c r="V733" s="26"/>
      <c r="W733" s="26">
        <v>0</v>
      </c>
      <c r="X733" s="26"/>
      <c r="Y733" s="26"/>
      <c r="Z733" s="26" t="s">
        <v>58</v>
      </c>
      <c r="AA733" s="26" t="s">
        <v>239</v>
      </c>
      <c r="AB733" s="26" t="s">
        <v>240</v>
      </c>
      <c r="AC733" s="26"/>
      <c r="AD733" s="26"/>
      <c r="AE733" s="26" t="s">
        <v>241</v>
      </c>
      <c r="AF733" s="26">
        <v>389</v>
      </c>
      <c r="AG733" s="26" t="s">
        <v>242</v>
      </c>
      <c r="AH733" s="26">
        <v>40025</v>
      </c>
      <c r="AI733" s="26"/>
      <c r="AJ733" s="26"/>
      <c r="AK733" s="26">
        <v>16</v>
      </c>
      <c r="AL733" s="26">
        <v>11</v>
      </c>
      <c r="AM733" s="26"/>
      <c r="AN733" s="26">
        <v>12</v>
      </c>
      <c r="AO733" s="26"/>
      <c r="AP733" s="26">
        <v>1.5</v>
      </c>
      <c r="AQ733" s="26"/>
      <c r="AR733" s="26"/>
      <c r="AS733" s="26" t="s">
        <v>58</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251</v>
      </c>
      <c r="T734" s="26"/>
      <c r="U734" s="26"/>
      <c r="V734" s="26"/>
      <c r="W734" s="26"/>
      <c r="X734" s="26"/>
      <c r="Y734" s="26"/>
      <c r="Z734" s="26" t="s">
        <v>58</v>
      </c>
      <c r="AA734" s="26"/>
      <c r="AB734" s="26" t="s">
        <v>58</v>
      </c>
      <c r="AC734" s="26"/>
      <c r="AD734" s="26"/>
      <c r="AE734" s="26" t="s">
        <v>252</v>
      </c>
      <c r="AF734" s="26">
        <v>0.59709999999999996</v>
      </c>
      <c r="AG734" s="26" t="s">
        <v>253</v>
      </c>
      <c r="AH734" s="26">
        <v>40056</v>
      </c>
      <c r="AI734" s="26"/>
      <c r="AJ734" s="26"/>
      <c r="AK734" s="26">
        <v>20</v>
      </c>
      <c r="AL734" s="26">
        <v>12</v>
      </c>
      <c r="AM734" s="26"/>
      <c r="AN734" s="26" t="s">
        <v>254</v>
      </c>
      <c r="AO734" s="26" t="s">
        <v>255</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256</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262</v>
      </c>
      <c r="T735" s="26"/>
      <c r="U735" s="26"/>
      <c r="V735" s="26"/>
      <c r="W735" s="26"/>
      <c r="X735" s="26">
        <v>40147</v>
      </c>
      <c r="Y735" s="26"/>
      <c r="Z735" s="26" t="s">
        <v>263</v>
      </c>
      <c r="AA735" s="26" t="e">
        <f>IF(BA760&lt;60,MIN(AV753:AV755),0)</f>
        <v>#REF!</v>
      </c>
      <c r="AB735" s="26"/>
      <c r="AC735" s="26"/>
      <c r="AD735" s="26"/>
      <c r="AE735" s="26" t="s">
        <v>264</v>
      </c>
      <c r="AF735" s="26">
        <v>40574</v>
      </c>
      <c r="AG735" s="26" t="s">
        <v>150</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137</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215</v>
      </c>
      <c r="AF736" s="26"/>
      <c r="AG736" s="26" t="s">
        <v>271</v>
      </c>
      <c r="AH736" s="26">
        <v>40117</v>
      </c>
      <c r="AI736" s="26"/>
      <c r="AJ736" s="26"/>
      <c r="AK736" s="26"/>
      <c r="AL736" s="26"/>
      <c r="AM736" s="26"/>
      <c r="AN736" s="26" t="s">
        <v>272</v>
      </c>
      <c r="AO736" s="26" t="s">
        <v>273</v>
      </c>
      <c r="AP736" s="26">
        <v>3</v>
      </c>
      <c r="AQ736" s="26"/>
      <c r="AR736" s="26"/>
      <c r="AS736" s="26"/>
      <c r="AT736" s="26">
        <v>19238</v>
      </c>
      <c r="AU736" s="26">
        <v>19238</v>
      </c>
      <c r="AV736" s="26"/>
      <c r="AW736" s="26" t="s">
        <v>274</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223</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58</v>
      </c>
      <c r="Q737" s="26"/>
      <c r="R737" s="26"/>
      <c r="S737" s="26"/>
      <c r="T737" s="26"/>
      <c r="U737" s="26"/>
      <c r="V737" s="26"/>
      <c r="W737" s="26"/>
      <c r="X737" s="26"/>
      <c r="Y737" s="26"/>
      <c r="Z737" s="26" t="s">
        <v>274</v>
      </c>
      <c r="AA737" s="26">
        <f ca="1">YEAR(AF735)-YEAR(I775)+AX736</f>
        <v>21</v>
      </c>
      <c r="AB737" s="26"/>
      <c r="AC737" s="26"/>
      <c r="AD737" s="26" t="s">
        <v>279</v>
      </c>
      <c r="AE737" s="26" t="s">
        <v>280</v>
      </c>
      <c r="AF737" s="26" t="s">
        <v>281</v>
      </c>
      <c r="AG737" s="26" t="s">
        <v>282</v>
      </c>
      <c r="AH737" s="26">
        <v>40147</v>
      </c>
      <c r="AI737" s="26"/>
      <c r="AJ737" s="26"/>
      <c r="AK737" s="26"/>
      <c r="AL737" s="26" t="s">
        <v>58</v>
      </c>
      <c r="AM737" s="26">
        <f ca="1">VLOOKUP(AA737,__HAV2,2,TRUE)</f>
        <v>12</v>
      </c>
      <c r="AN737" s="26">
        <v>14</v>
      </c>
      <c r="AO737" s="26">
        <v>35</v>
      </c>
      <c r="AP737" s="26"/>
      <c r="AQ737" s="26"/>
      <c r="AR737" s="26"/>
      <c r="AS737" s="26"/>
      <c r="AT737" s="26">
        <v>19480</v>
      </c>
      <c r="AU737" s="26">
        <v>19480</v>
      </c>
      <c r="AV737" s="26" t="s">
        <v>283</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284</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53</v>
      </c>
      <c r="N738" s="26">
        <f ca="1">ROUND((I775-AT720)/365.25,2)</f>
        <v>13.26</v>
      </c>
      <c r="O738" s="26"/>
      <c r="P738" s="26"/>
      <c r="Q738" s="26"/>
      <c r="R738" s="26"/>
      <c r="S738" s="26"/>
      <c r="T738" s="26"/>
      <c r="U738" s="26"/>
      <c r="V738" s="26" t="s">
        <v>573</v>
      </c>
      <c r="W738" s="26"/>
      <c r="X738" s="26">
        <v>164.07</v>
      </c>
      <c r="Y738" s="26"/>
      <c r="Z738" s="26" t="s">
        <v>291</v>
      </c>
      <c r="AA738" s="26">
        <f>AX734</f>
        <v>33</v>
      </c>
      <c r="AB738" s="26"/>
      <c r="AC738" s="26" t="s">
        <v>190</v>
      </c>
      <c r="AD738" s="26">
        <f>IF(AX734&gt;AA739,AA739,AX734)</f>
        <v>33</v>
      </c>
      <c r="AE738" s="26" t="e">
        <f>IF(W724=#REF!,1.5*AF738,1*AF738)</f>
        <v>#REF!</v>
      </c>
      <c r="AF738" s="26">
        <f>IF(W724=AE723,1,IF(AX734&gt;30,0.75,1))</f>
        <v>1</v>
      </c>
      <c r="AG738" s="26" t="s">
        <v>292</v>
      </c>
      <c r="AH738" s="26">
        <v>40178</v>
      </c>
      <c r="AI738" s="26"/>
      <c r="AJ738" s="26"/>
      <c r="AK738" s="26"/>
      <c r="AL738" s="26"/>
      <c r="AM738" s="26"/>
      <c r="AN738" s="26" t="s">
        <v>293</v>
      </c>
      <c r="AO738" s="26" t="s">
        <v>294</v>
      </c>
      <c r="AP738" s="26"/>
      <c r="AQ738" s="26"/>
      <c r="AR738" s="26"/>
      <c r="AS738" s="26"/>
      <c r="AT738" s="26"/>
      <c r="AU738" s="26"/>
      <c r="AV738" s="26"/>
      <c r="AW738" s="26" t="s">
        <v>58</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58</v>
      </c>
      <c r="N739" s="26"/>
      <c r="O739" s="26"/>
      <c r="P739" s="26"/>
      <c r="Q739" s="26"/>
      <c r="R739" s="26"/>
      <c r="S739" s="26"/>
      <c r="T739" s="26"/>
      <c r="U739" s="26"/>
      <c r="V739" s="26" t="s">
        <v>301</v>
      </c>
      <c r="W739" s="26">
        <f>IF(BB781=Y723,12%,0)</f>
        <v>0</v>
      </c>
      <c r="X739" s="26"/>
      <c r="Y739" s="26"/>
      <c r="Z739" s="26" t="s">
        <v>302</v>
      </c>
      <c r="AA739" s="26">
        <v>36</v>
      </c>
      <c r="AB739" s="26"/>
      <c r="AC739" s="26" t="s">
        <v>303</v>
      </c>
      <c r="AD739" s="26">
        <f ca="1">IF((AD738+AB748)&gt;AA739,AA739,AD738+AB748)</f>
        <v>21</v>
      </c>
      <c r="AE739" s="26"/>
      <c r="AF739" s="26"/>
      <c r="AG739" s="26"/>
      <c r="AH739" s="26">
        <v>40209</v>
      </c>
      <c r="AI739" s="26"/>
      <c r="AJ739" s="26"/>
      <c r="AK739" s="26"/>
      <c r="AL739" s="26"/>
      <c r="AM739" s="26"/>
      <c r="AN739" s="26">
        <v>15</v>
      </c>
      <c r="AO739" s="26">
        <v>36</v>
      </c>
      <c r="AP739" s="26"/>
      <c r="AQ739" s="26"/>
      <c r="AR739" s="26" t="s">
        <v>304</v>
      </c>
      <c r="AS739" s="26"/>
      <c r="AT739" s="26">
        <f ca="1">IF(MONTH(I775)=1,1,0)</f>
        <v>0</v>
      </c>
      <c r="AU739" s="26"/>
      <c r="AV739" s="26" t="s">
        <v>305</v>
      </c>
      <c r="AW739" s="26" t="e">
        <f>(L807-#REF!)*12</f>
        <v>#REF!</v>
      </c>
      <c r="AX739" s="26"/>
      <c r="AY739" s="26"/>
      <c r="AZ739" s="26"/>
      <c r="BA739" s="26" t="s">
        <v>306</v>
      </c>
      <c r="BB739" s="26" t="s">
        <v>307</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308</v>
      </c>
      <c r="BL739" s="26"/>
      <c r="BM739" s="26"/>
      <c r="BN739" s="26" t="e">
        <f ca="1">IF($BM$738=0%,BN737,IF(BN724&lt;$BK$723,BN737*$BD$809,BN737-($BK$738*BN738)))</f>
        <v>#REF!</v>
      </c>
      <c r="BO739" s="26"/>
      <c r="BP739" s="26" t="e">
        <f ca="1">IF($BM$738=0%,BP737,IF(BP724&lt;$BK$723,BP737*$BD$809,BP737-($BK$738*BP738)))</f>
        <v>#REF!</v>
      </c>
      <c r="BQ739" s="26" t="s">
        <v>309</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313</v>
      </c>
      <c r="AC740" s="26"/>
      <c r="AD740" s="26"/>
      <c r="AE740" s="26" t="e">
        <f>(100-AE738)/100</f>
        <v>#REF!</v>
      </c>
      <c r="AF740" s="26"/>
      <c r="AG740" s="26"/>
      <c r="AH740" s="26">
        <v>40237</v>
      </c>
      <c r="AI740" s="26"/>
      <c r="AJ740" s="26" t="s">
        <v>314</v>
      </c>
      <c r="AK740" s="26"/>
      <c r="AL740" s="26"/>
      <c r="AM740" s="26"/>
      <c r="AN740" s="26" t="s">
        <v>315</v>
      </c>
      <c r="AO740" s="26" t="s">
        <v>316</v>
      </c>
      <c r="AP740" s="26"/>
      <c r="AQ740" s="26"/>
      <c r="AR740" s="26"/>
      <c r="AS740" s="26"/>
      <c r="AT740" s="26" t="s">
        <v>58</v>
      </c>
      <c r="AU740" s="26"/>
      <c r="AV740" s="26" t="s">
        <v>58</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317</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320</v>
      </c>
      <c r="W741" s="26"/>
      <c r="X741" s="26"/>
      <c r="Y741" s="26"/>
      <c r="Z741" s="26" t="s">
        <v>321</v>
      </c>
      <c r="AA741" s="26"/>
      <c r="AB741" s="26" t="s">
        <v>322</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58</v>
      </c>
      <c r="AQ741" s="26"/>
      <c r="AR741" s="26"/>
      <c r="AS741" s="26"/>
      <c r="AT741" s="26"/>
      <c r="AU741" s="26"/>
      <c r="AV741" s="26">
        <f>IF(24.75-BB771-BB772&lt;=0,0,IF((24.75-BB771-BB772)&gt;#REF!,#REF!*#REF!*0.6,(24.75-BB771-BB772)*#REF!*0.6))</f>
        <v>0</v>
      </c>
      <c r="AW741" s="26"/>
      <c r="AX741" s="26"/>
      <c r="AY741" s="26"/>
      <c r="AZ741" s="26"/>
      <c r="BA741" s="26"/>
      <c r="BB741" s="26" t="s">
        <v>323</v>
      </c>
      <c r="BC741" s="26"/>
      <c r="BD741" s="26"/>
      <c r="BE741" s="26">
        <f>IF(MONTH(AF735)&gt;9,0,MONTH(AF735)-1+DAY(AF735)/30)</f>
        <v>1.0333333333333334</v>
      </c>
      <c r="BF741" s="26"/>
      <c r="BG741" s="26" t="s">
        <v>324</v>
      </c>
      <c r="BH741" s="26" t="e">
        <f>IF(BH740=0,0,(BH740-(BB786*BH742)*12)-BK741)</f>
        <v>#REF!</v>
      </c>
      <c r="BI741" s="26" t="s">
        <v>325</v>
      </c>
      <c r="BJ741" s="26" t="s">
        <v>326</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58</v>
      </c>
      <c r="V742" s="26" t="s">
        <v>331</v>
      </c>
      <c r="W742" s="26" t="s">
        <v>251</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332</v>
      </c>
      <c r="AO742" s="26" t="s">
        <v>333</v>
      </c>
      <c r="AP742" s="26"/>
      <c r="AQ742" s="26"/>
      <c r="AR742" s="26"/>
      <c r="AS742" s="26" t="s">
        <v>334</v>
      </c>
      <c r="AT742" s="26">
        <f ca="1">ROUND(G906,0)</f>
        <v>-11</v>
      </c>
      <c r="AU742" s="26"/>
      <c r="AV742" s="26" t="e">
        <f>IF(G911&lt;70%,IF(#REF!* 2% &gt;70%-G911,70%-G911,#REF!*2%),IF(G909+G910-G911&lt;=0,0,G909+G910-G911))</f>
        <v>#REF!</v>
      </c>
      <c r="AW742" s="26"/>
      <c r="AX742" s="26"/>
      <c r="AY742" s="26"/>
      <c r="AZ742" s="26"/>
      <c r="BA742" s="26"/>
      <c r="BB742" s="26" t="s">
        <v>335</v>
      </c>
      <c r="BC742" s="26"/>
      <c r="BD742" s="26"/>
      <c r="BE742" s="26">
        <f>MONTH(AF735)-1+DAY(AF735)/30</f>
        <v>1.0333333333333334</v>
      </c>
      <c r="BF742" s="26"/>
      <c r="BG742" s="26" t="s">
        <v>336</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338</v>
      </c>
      <c r="W743" s="26" t="s">
        <v>129</v>
      </c>
      <c r="X743" s="26"/>
      <c r="Y743" s="26"/>
      <c r="Z743" s="26" t="s">
        <v>58</v>
      </c>
      <c r="AA743" s="26"/>
      <c r="AB743" s="26"/>
      <c r="AC743" s="26"/>
      <c r="AD743" s="26" t="s">
        <v>339</v>
      </c>
      <c r="AE743" s="26">
        <f>L807*0.36</f>
        <v>5184.4128898677536</v>
      </c>
      <c r="AF743" s="26"/>
      <c r="AG743" s="26"/>
      <c r="AH743" s="26">
        <v>40329</v>
      </c>
      <c r="AI743" s="26"/>
      <c r="AJ743" s="26" t="s">
        <v>340</v>
      </c>
      <c r="AK743" s="26" t="s">
        <v>341</v>
      </c>
      <c r="AL743" s="26"/>
      <c r="AM743" s="26"/>
      <c r="AN743" s="26">
        <v>17</v>
      </c>
      <c r="AO743" s="26">
        <v>38</v>
      </c>
      <c r="AP743" s="26"/>
      <c r="AQ743" s="26"/>
      <c r="AR743" s="26"/>
      <c r="AS743" s="26" t="s">
        <v>342</v>
      </c>
      <c r="AT743" s="26" t="s">
        <v>58</v>
      </c>
      <c r="AU743" s="26"/>
      <c r="AV743" s="26"/>
      <c r="AW743" s="26"/>
      <c r="AX743" s="26"/>
      <c r="AY743" s="26"/>
      <c r="AZ743" s="26"/>
      <c r="BA743" s="26"/>
      <c r="BB743" s="26"/>
      <c r="BC743" s="26"/>
      <c r="BD743" s="26"/>
      <c r="BE743" s="26"/>
      <c r="BF743" s="26"/>
      <c r="BG743" s="26" t="s">
        <v>343</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58</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87</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347</v>
      </c>
      <c r="AO744" s="26" t="s">
        <v>348</v>
      </c>
      <c r="AP744" s="26"/>
      <c r="AQ744" s="26"/>
      <c r="AR744" s="26"/>
      <c r="AS744" s="26" t="s">
        <v>349</v>
      </c>
      <c r="AT744" s="26">
        <f ca="1">(AT746*2)/100</f>
        <v>-1.8333333333333333E-2</v>
      </c>
      <c r="AU744" s="26"/>
      <c r="AV744" s="26"/>
      <c r="AW744" s="26"/>
      <c r="AX744" s="26"/>
      <c r="AY744" s="26"/>
      <c r="AZ744" s="26"/>
      <c r="BA744" s="26"/>
      <c r="BB744" s="26"/>
      <c r="BC744" s="26"/>
      <c r="BD744" s="26"/>
      <c r="BE744" s="26"/>
      <c r="BF744" s="26" t="s">
        <v>58</v>
      </c>
      <c r="BG744" s="26" t="s">
        <v>350</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94</v>
      </c>
      <c r="O745" s="26"/>
      <c r="P745" s="26"/>
      <c r="Q745" s="26"/>
      <c r="R745" s="26"/>
      <c r="S745" s="26"/>
      <c r="T745" s="26" t="s">
        <v>352</v>
      </c>
      <c r="U745" s="26"/>
      <c r="V745" s="26">
        <v>0</v>
      </c>
      <c r="W745" s="26" t="s">
        <v>353</v>
      </c>
      <c r="X745" s="26"/>
      <c r="Y745" s="26"/>
      <c r="Z745" s="26"/>
      <c r="AA745" s="26" t="s">
        <v>8</v>
      </c>
      <c r="AB745" s="26" t="s">
        <v>354</v>
      </c>
      <c r="AC745" s="26" t="s">
        <v>355</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102</v>
      </c>
      <c r="O746" s="26"/>
      <c r="P746" s="26"/>
      <c r="Q746" s="26"/>
      <c r="R746" s="26"/>
      <c r="S746" s="26"/>
      <c r="T746" s="26" t="s">
        <v>356</v>
      </c>
      <c r="U746" s="26"/>
      <c r="V746" s="26" t="s">
        <v>357</v>
      </c>
      <c r="W746" s="26" t="s">
        <v>358</v>
      </c>
      <c r="X746" s="26"/>
      <c r="Y746" s="26"/>
      <c r="Z746" s="26"/>
      <c r="AA746" s="26" t="s">
        <v>70</v>
      </c>
      <c r="AB746" s="26">
        <f>IF(AX734&lt;AA739,AX734-INT(AX734),0)</f>
        <v>0</v>
      </c>
      <c r="AC746" s="26" t="s">
        <v>359</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360</v>
      </c>
      <c r="AO746" s="26" t="s">
        <v>361</v>
      </c>
      <c r="AP746" s="26"/>
      <c r="AQ746" s="26"/>
      <c r="AR746" s="26"/>
      <c r="AS746" s="26" t="s">
        <v>362</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112</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303</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364</v>
      </c>
      <c r="AW747" s="26" t="s">
        <v>365</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369</v>
      </c>
      <c r="AB748" s="26">
        <f ca="1">YEAR(AF735)-YEAR(I775)</f>
        <v>-12</v>
      </c>
      <c r="AC748" s="26"/>
      <c r="AD748" s="26"/>
      <c r="AE748" s="26"/>
      <c r="AF748" s="26"/>
      <c r="AG748" s="26"/>
      <c r="AH748" s="26">
        <v>40482</v>
      </c>
      <c r="AI748" s="26"/>
      <c r="AJ748" s="26"/>
      <c r="AK748" s="26"/>
      <c r="AL748" s="26"/>
      <c r="AM748" s="26"/>
      <c r="AN748" s="26" t="s">
        <v>370</v>
      </c>
      <c r="AO748" s="26" t="s">
        <v>371</v>
      </c>
      <c r="AP748" s="26"/>
      <c r="AQ748" s="26"/>
      <c r="AR748" s="26"/>
      <c r="AS748" s="26"/>
      <c r="AT748" s="26" t="s">
        <v>372</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58</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375</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376</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377</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378</v>
      </c>
      <c r="W750" s="26">
        <v>0</v>
      </c>
      <c r="X750" s="26"/>
      <c r="Y750" s="26"/>
      <c r="Z750" s="26"/>
      <c r="AA750" s="26"/>
      <c r="AB750" s="26"/>
      <c r="AC750" s="26" t="s">
        <v>359</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379</v>
      </c>
      <c r="AO750" s="26" t="s">
        <v>380</v>
      </c>
      <c r="AP750" s="26"/>
      <c r="AQ750" s="26"/>
      <c r="AR750" s="26"/>
      <c r="AS750" s="26"/>
      <c r="AT750" s="26"/>
      <c r="AU750" s="26"/>
      <c r="AV750" s="26"/>
      <c r="AW750" s="26"/>
      <c r="AX750" s="26"/>
      <c r="AY750" s="26"/>
      <c r="AZ750" s="26"/>
      <c r="BA750" s="26"/>
      <c r="BB750" s="26"/>
      <c r="BC750" s="26"/>
      <c r="BD750" s="26"/>
      <c r="BE750" s="26" t="s">
        <v>58</v>
      </c>
      <c r="BF750" s="26" t="s">
        <v>381</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382</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383</v>
      </c>
      <c r="AU751" s="26" t="s">
        <v>384</v>
      </c>
      <c r="AV751" s="26"/>
      <c r="AW751" s="26"/>
      <c r="AX751" s="26"/>
      <c r="AY751" s="26"/>
      <c r="AZ751" s="26"/>
      <c r="BA751" s="26"/>
      <c r="BB751" s="26"/>
      <c r="BC751" s="26"/>
      <c r="BD751" s="26"/>
      <c r="BE751" s="26"/>
      <c r="BF751" s="26" t="s">
        <v>385</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256</v>
      </c>
      <c r="W752" s="26">
        <f>BB771</f>
        <v>33</v>
      </c>
      <c r="X752" s="26"/>
      <c r="Y752" s="26"/>
      <c r="Z752" s="26" t="s">
        <v>386</v>
      </c>
      <c r="AA752" s="26" t="e">
        <f ca="1">G974*AA751</f>
        <v>#REF!</v>
      </c>
      <c r="AB752" s="26"/>
      <c r="AC752" s="26"/>
      <c r="AD752" s="26"/>
      <c r="AE752" s="26"/>
      <c r="AF752" s="26"/>
      <c r="AG752" s="26"/>
      <c r="AH752" s="26"/>
      <c r="AI752" s="26"/>
      <c r="AJ752" s="26">
        <f>ROUND((AF735-AJ751)/365.25,2)</f>
        <v>0.08</v>
      </c>
      <c r="AK752" s="26"/>
      <c r="AL752" s="26"/>
      <c r="AM752" s="26"/>
      <c r="AN752" s="26" t="s">
        <v>387</v>
      </c>
      <c r="AO752" s="26" t="s">
        <v>388</v>
      </c>
      <c r="AP752" s="26"/>
      <c r="AQ752" s="26"/>
      <c r="AR752" s="26"/>
      <c r="AS752" s="26" t="s">
        <v>389</v>
      </c>
      <c r="AT752" s="26"/>
      <c r="AU752" s="26" t="e">
        <f>E947</f>
        <v>#REF!</v>
      </c>
      <c r="AV752" s="26" t="s">
        <v>390</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391</v>
      </c>
      <c r="AA753" s="26"/>
      <c r="AB753" s="26"/>
      <c r="AC753" s="26"/>
      <c r="AD753" s="26" t="s">
        <v>392</v>
      </c>
      <c r="AE753" s="26" t="s">
        <v>393</v>
      </c>
      <c r="AF753" s="26"/>
      <c r="AG753" s="26"/>
      <c r="AH753" s="26"/>
      <c r="AI753" s="26"/>
      <c r="AJ753" s="26"/>
      <c r="AK753" s="26"/>
      <c r="AL753" s="26"/>
      <c r="AM753" s="26"/>
      <c r="AN753" s="26">
        <v>22</v>
      </c>
      <c r="AO753" s="26">
        <v>43</v>
      </c>
      <c r="AP753" s="26"/>
      <c r="AQ753" s="26"/>
      <c r="AR753" s="26"/>
      <c r="AS753" s="26" t="s">
        <v>58</v>
      </c>
      <c r="AT753" s="26">
        <v>12</v>
      </c>
      <c r="AU753" s="26" t="s">
        <v>394</v>
      </c>
      <c r="AV753" s="26" t="e">
        <f>12*AU752</f>
        <v>#REF!</v>
      </c>
      <c r="AW753" s="26"/>
      <c r="AX753" s="26"/>
      <c r="AY753" s="26"/>
      <c r="AZ753" s="26"/>
      <c r="BA753" s="26" t="s">
        <v>58</v>
      </c>
      <c r="BB753" s="26"/>
      <c r="BC753" s="26"/>
      <c r="BD753" s="26"/>
      <c r="BE753" s="26" t="s">
        <v>395</v>
      </c>
      <c r="BF753" s="26"/>
      <c r="BG753" s="26"/>
      <c r="BH753" s="26"/>
      <c r="BI753" s="26"/>
      <c r="BJ753" s="26"/>
      <c r="BK753" s="26"/>
      <c r="BL753" s="26" t="s">
        <v>396</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399</v>
      </c>
      <c r="W754" s="26">
        <v>1</v>
      </c>
      <c r="X754" s="26"/>
      <c r="Y754" s="26"/>
      <c r="Z754" s="26" t="e">
        <f>IF(#REF!&gt;0,#REF!/'[1]נתוני מס'!N16,0)</f>
        <v>#REF!</v>
      </c>
      <c r="AA754" s="26" t="s">
        <v>400</v>
      </c>
      <c r="AB754" s="26" t="s">
        <v>401</v>
      </c>
      <c r="AC754" s="26" t="s">
        <v>197</v>
      </c>
      <c r="AD754" s="26"/>
      <c r="AE754" s="26" t="e">
        <f>#REF!</f>
        <v>#REF!</v>
      </c>
      <c r="AF754" s="26"/>
      <c r="AG754" s="26"/>
      <c r="AH754" s="26"/>
      <c r="AI754" s="26"/>
      <c r="AJ754" s="26"/>
      <c r="AK754" s="26"/>
      <c r="AL754" s="26"/>
      <c r="AM754" s="26"/>
      <c r="AN754" s="26" t="s">
        <v>402</v>
      </c>
      <c r="AO754" s="26" t="s">
        <v>403</v>
      </c>
      <c r="AP754" s="26"/>
      <c r="AQ754" s="26"/>
      <c r="AR754" s="26"/>
      <c r="AS754" s="26" t="s">
        <v>404</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405</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406</v>
      </c>
      <c r="AB755" s="26" t="s">
        <v>407</v>
      </c>
      <c r="AC755" s="26" t="s">
        <v>70</v>
      </c>
      <c r="AD755" s="26"/>
      <c r="AE755" s="26"/>
      <c r="AF755" s="26" t="s">
        <v>408</v>
      </c>
      <c r="AG755" s="26">
        <f>IF(AF707=AC754,0.01%,0)</f>
        <v>0</v>
      </c>
      <c r="AH755" s="26"/>
      <c r="AI755" s="26"/>
      <c r="AJ755" s="26" t="s">
        <v>350</v>
      </c>
      <c r="AK755" s="26"/>
      <c r="AL755" s="26"/>
      <c r="AM755" s="26"/>
      <c r="AN755" s="26">
        <v>23</v>
      </c>
      <c r="AO755" s="26">
        <v>44</v>
      </c>
      <c r="AP755" s="26"/>
      <c r="AQ755" s="26"/>
      <c r="AR755" s="26"/>
      <c r="AS755" s="26"/>
      <c r="AT755" s="26"/>
      <c r="AU755" s="26" t="s">
        <v>409</v>
      </c>
      <c r="AV755" s="26" t="e">
        <f ca="1">BA758</f>
        <v>#REF!</v>
      </c>
      <c r="AW755" s="26"/>
      <c r="AX755" s="26" t="s">
        <v>410</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411</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412</v>
      </c>
      <c r="AO756" s="26" t="s">
        <v>413</v>
      </c>
      <c r="AP756" s="26"/>
      <c r="AQ756" s="26"/>
      <c r="AR756" s="26"/>
      <c r="AS756" s="26"/>
      <c r="AT756" s="26"/>
      <c r="AU756" s="26"/>
      <c r="AV756" s="26"/>
      <c r="AW756" s="26"/>
      <c r="AX756" s="26" t="s">
        <v>414</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58</v>
      </c>
      <c r="R757" s="26"/>
      <c r="S757" s="26" t="e">
        <f>(1-#REF!/#REF!)*#REF!</f>
        <v>#REF!</v>
      </c>
      <c r="T757" s="26"/>
      <c r="U757" s="26" t="s">
        <v>416</v>
      </c>
      <c r="V757" s="26"/>
      <c r="W757" s="26"/>
      <c r="X757" s="26"/>
      <c r="Y757" s="26"/>
      <c r="Z757" s="26"/>
      <c r="AA757" s="26" t="s">
        <v>417</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385</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418</v>
      </c>
      <c r="W758" s="26" t="e">
        <f ca="1">E947+(E963+E964+E965)/12</f>
        <v>#REF!</v>
      </c>
      <c r="X758" s="26"/>
      <c r="Y758" s="26"/>
      <c r="Z758" s="26"/>
      <c r="AA758" s="26"/>
      <c r="AB758" s="26" t="s">
        <v>58</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58</v>
      </c>
      <c r="R759" s="26"/>
      <c r="S759" s="26" t="e">
        <f>S758*2</f>
        <v>#REF!</v>
      </c>
      <c r="T759" s="26"/>
      <c r="U759" s="26"/>
      <c r="V759" s="26" t="s">
        <v>420</v>
      </c>
      <c r="W759" s="26" t="e">
        <f ca="1">E947+(E964+E965)/12</f>
        <v>#REF!</v>
      </c>
      <c r="X759" s="26"/>
      <c r="Y759" s="26"/>
      <c r="Z759" s="26"/>
      <c r="AA759" s="26"/>
      <c r="AB759" s="26" t="s">
        <v>58</v>
      </c>
      <c r="AC759" s="26"/>
      <c r="AD759" s="26"/>
      <c r="AE759" s="26"/>
      <c r="AF759" s="26"/>
      <c r="AG759" s="26"/>
      <c r="AH759" s="26"/>
      <c r="AI759" s="26"/>
      <c r="AJ759" s="26"/>
      <c r="AK759" s="26"/>
      <c r="AL759" s="26"/>
      <c r="AM759" s="26"/>
      <c r="AN759" s="26" t="s">
        <v>421</v>
      </c>
      <c r="AO759" s="26" t="s">
        <v>422</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423</v>
      </c>
      <c r="W760" s="26" t="e">
        <f>E947</f>
        <v>#REF!</v>
      </c>
      <c r="X760" s="26"/>
      <c r="Y760" s="26"/>
      <c r="Z760" s="26"/>
      <c r="AA760" s="26"/>
      <c r="AB760" s="26" t="s">
        <v>58</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58</v>
      </c>
      <c r="W761" s="26"/>
      <c r="X761" s="26"/>
      <c r="Y761" s="26"/>
      <c r="Z761" s="26"/>
      <c r="AA761" s="26"/>
      <c r="AB761" s="26" t="s">
        <v>58</v>
      </c>
      <c r="AC761" s="26"/>
      <c r="AD761" s="26"/>
      <c r="AE761" s="26"/>
      <c r="AF761" s="26"/>
      <c r="AG761" s="26"/>
      <c r="AH761" s="26"/>
      <c r="AI761" s="26"/>
      <c r="AJ761" s="26"/>
      <c r="AK761" s="26"/>
      <c r="AL761" s="26"/>
      <c r="AM761" s="26"/>
      <c r="AN761" s="26" t="s">
        <v>424</v>
      </c>
      <c r="AO761" s="26" t="s">
        <v>425</v>
      </c>
      <c r="AP761" s="26"/>
      <c r="AQ761" s="26"/>
      <c r="AR761" s="26"/>
      <c r="AS761" s="26"/>
      <c r="AT761" s="26"/>
      <c r="AU761" s="26"/>
      <c r="AV761" s="26"/>
      <c r="AW761" s="26"/>
      <c r="AX761" s="26"/>
      <c r="AY761" s="26"/>
      <c r="AZ761" s="26" t="s">
        <v>426</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429</v>
      </c>
      <c r="W763" s="26"/>
      <c r="X763" s="26" t="s">
        <v>423</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250</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430</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270</v>
      </c>
      <c r="O770" s="26"/>
      <c r="P770" s="26"/>
      <c r="Q770" s="26"/>
      <c r="R770" s="26" t="s">
        <v>431</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432</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278</v>
      </c>
      <c r="O771" s="26"/>
      <c r="P771" s="26"/>
      <c r="Q771" s="26"/>
      <c r="R771" s="26" t="s">
        <v>58</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433</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274</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574</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435</v>
      </c>
      <c r="BB775" s="26" t="s">
        <v>83</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575</v>
      </c>
      <c r="I776" s="26" t="s">
        <v>576</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378</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68</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436</v>
      </c>
      <c r="BB777" s="26" t="s">
        <v>114</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577</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437</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78</v>
      </c>
      <c r="L779" s="26">
        <f>VLOOKUP(INT(G946),ofek4,BB770+2,FALSE)*(1+AB746/100)*T719*T705</f>
        <v>14401.146916299316</v>
      </c>
      <c r="M779" s="26"/>
      <c r="N779" s="26"/>
      <c r="O779" s="26"/>
      <c r="P779" s="26"/>
      <c r="Q779" s="26"/>
      <c r="R779" s="26" t="s">
        <v>406</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438</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440</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445</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446</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93</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250</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101</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375</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86</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448</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450</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58</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276</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453</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58</v>
      </c>
      <c r="AG800" s="26"/>
      <c r="AH800" s="26"/>
      <c r="AI800" s="26"/>
      <c r="AJ800" s="26"/>
      <c r="AK800" s="26"/>
      <c r="AL800" s="26"/>
      <c r="AM800" s="26"/>
      <c r="AN800" s="26"/>
      <c r="AO800" s="26"/>
      <c r="AP800" s="26"/>
      <c r="AQ800" s="26"/>
      <c r="AR800" s="26"/>
      <c r="AS800" s="26"/>
      <c r="AT800" s="26" t="s">
        <v>454</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455</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456</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58</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457</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458</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459</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58</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460</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461</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578</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462</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58</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463</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284</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86</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58</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58</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464</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203</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58</v>
      </c>
      <c r="W813" s="26" t="s">
        <v>58</v>
      </c>
      <c r="X813" s="26" t="s">
        <v>111</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118</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465</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451</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127</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149</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449</v>
      </c>
      <c r="R820" s="26"/>
      <c r="S820" s="26"/>
      <c r="T820" s="26"/>
      <c r="U820" s="26"/>
      <c r="V820" s="26"/>
      <c r="W820" s="26"/>
      <c r="X820" s="26" t="s">
        <v>64</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58</v>
      </c>
      <c r="N823" s="26" t="s">
        <v>58</v>
      </c>
      <c r="O823" s="26"/>
      <c r="P823" s="26"/>
      <c r="Q823" s="26"/>
      <c r="R823" s="26"/>
      <c r="S823" s="26"/>
      <c r="T823" s="26"/>
      <c r="U823" s="26"/>
      <c r="V823" s="26"/>
      <c r="W823" s="26"/>
      <c r="X823" s="26" t="s">
        <v>100</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58</v>
      </c>
      <c r="L824" s="26"/>
      <c r="M824" s="26" t="s">
        <v>58</v>
      </c>
      <c r="N824" s="26" t="s">
        <v>58</v>
      </c>
      <c r="O824" s="26"/>
      <c r="P824" s="26"/>
      <c r="Q824" s="26"/>
      <c r="R824" s="26"/>
      <c r="S824" s="26"/>
      <c r="T824" s="26"/>
      <c r="U824" s="26"/>
      <c r="V824" s="26"/>
      <c r="W824" s="26"/>
      <c r="X824" s="26" t="s">
        <v>209</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58</v>
      </c>
      <c r="N825" s="26" t="s">
        <v>58</v>
      </c>
      <c r="O825" s="26"/>
      <c r="P825" s="26"/>
      <c r="Q825" s="26"/>
      <c r="R825" s="26"/>
      <c r="S825" s="26"/>
      <c r="T825" s="26"/>
      <c r="U825" s="26"/>
      <c r="V825" s="26"/>
      <c r="W825" s="26"/>
      <c r="X825" s="26" t="s">
        <v>227</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58</v>
      </c>
      <c r="N826" s="26" t="s">
        <v>58</v>
      </c>
      <c r="O826" s="26"/>
      <c r="P826" s="26"/>
      <c r="Q826" s="26"/>
      <c r="R826" s="26"/>
      <c r="S826" s="26"/>
      <c r="T826" s="26"/>
      <c r="U826" s="26"/>
      <c r="V826" s="26"/>
      <c r="W826" s="26"/>
      <c r="X826" s="26" t="s">
        <v>237</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58</v>
      </c>
      <c r="N827" s="26" t="s">
        <v>58</v>
      </c>
      <c r="O827" s="26"/>
      <c r="P827" s="26"/>
      <c r="Q827" s="26"/>
      <c r="R827" s="26"/>
      <c r="S827" s="26"/>
      <c r="T827" s="26"/>
      <c r="U827" s="26"/>
      <c r="V827" s="26"/>
      <c r="W827" s="26"/>
      <c r="X827" s="26" t="s">
        <v>249</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58</v>
      </c>
      <c r="N828" s="26" t="s">
        <v>58</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58</v>
      </c>
      <c r="N829" s="26" t="s">
        <v>58</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58</v>
      </c>
      <c r="L830" s="26"/>
      <c r="M830" s="26" t="s">
        <v>58</v>
      </c>
      <c r="N830" s="26" t="s">
        <v>58</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58</v>
      </c>
      <c r="N831" s="26" t="s">
        <v>58</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58</v>
      </c>
      <c r="N832" s="26" t="s">
        <v>58</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58</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468</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58</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58</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495</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58</v>
      </c>
      <c r="I869" s="26"/>
      <c r="J869" s="26"/>
      <c r="K869" s="26" t="s">
        <v>58</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58</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58</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58</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498</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579</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58</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-0.30959999999999999</v>
      </c>
      <c r="L887" s="26" t="s">
        <v>466</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467</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469</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470</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471</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472</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58</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58</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534</v>
      </c>
      <c r="C898" s="69" t="e">
        <f>#REF!</f>
        <v>#REF!</v>
      </c>
      <c r="G898" s="26"/>
      <c r="H898" s="26"/>
      <c r="I898" s="26" t="s">
        <v>58</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513</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530</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532</v>
      </c>
      <c r="E901" s="73" t="s">
        <v>197</v>
      </c>
      <c r="G901" s="26" t="s">
        <v>492</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518</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520</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522</v>
      </c>
      <c r="F904" s="79" t="e">
        <f>#REF!</f>
        <v>#REF!</v>
      </c>
      <c r="G904" s="26" t="s">
        <v>494</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540</v>
      </c>
      <c r="C905" s="81" t="s">
        <v>541</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542</v>
      </c>
      <c r="D906" s="85" t="s">
        <v>58</v>
      </c>
      <c r="E906" s="86" t="e">
        <f>#REF!/#REF!*E911</f>
        <v>#REF!</v>
      </c>
      <c r="F906" s="87" t="s">
        <v>525</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543</v>
      </c>
      <c r="D907" s="90" t="s">
        <v>58</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545</v>
      </c>
      <c r="D908" s="94" t="str">
        <f>E107&amp;"   :   מספר חודשים"</f>
        <v xml:space="preserve">   :   מספר חודשים</v>
      </c>
      <c r="E908" s="91" t="e">
        <f>#REF!/#REF!*E911</f>
        <v>#REF!</v>
      </c>
      <c r="F908" s="95" t="s">
        <v>529</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546</v>
      </c>
      <c r="D909" s="94" t="e">
        <f>IF(#REF!=0,#REF!,INT(#REF!)&amp;" : ימי מחלה  לפדיון")</f>
        <v>#REF!</v>
      </c>
      <c r="E909" s="91" t="e">
        <f>#REF!/#REF!*E911</f>
        <v>#REF!</v>
      </c>
      <c r="F909" s="96" t="s">
        <v>531</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547</v>
      </c>
      <c r="D910" s="99" t="e">
        <f>IF(#REF!=0,#REF!,TRUNC(#REF!,2)&amp; "  :מספר משכורות")</f>
        <v>#REF!</v>
      </c>
      <c r="E910" s="100" t="e">
        <f>#REF!/#REF!*E911</f>
        <v>#REF!</v>
      </c>
      <c r="F910" s="101" t="s">
        <v>533</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548</v>
      </c>
      <c r="D911" s="104" t="s">
        <v>549</v>
      </c>
      <c r="E911" s="105" t="e">
        <f>#REF!</f>
        <v>#REF!</v>
      </c>
      <c r="F911" s="67" t="s">
        <v>535</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550</v>
      </c>
      <c r="D912" s="107"/>
      <c r="E912" s="108" t="e">
        <f>E911-#REF!</f>
        <v>#REF!</v>
      </c>
      <c r="F912" s="109" t="s">
        <v>536</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537</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551</v>
      </c>
      <c r="D914" s="116" t="e">
        <f>#REF!&amp;" : ימי חופש  לפדיון"</f>
        <v>#REF!</v>
      </c>
      <c r="E914" s="114" t="e">
        <f>#REF!-BF740</f>
        <v>#REF!</v>
      </c>
      <c r="F914" s="117" t="s">
        <v>538</v>
      </c>
      <c r="G914" s="26" t="s">
        <v>501</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552</v>
      </c>
      <c r="D915" s="119"/>
      <c r="E915" s="120"/>
      <c r="F915" s="120" t="e">
        <f>IF(#REF!=0,0,#REF!-#REF!)</f>
        <v>#REF!</v>
      </c>
      <c r="G915" s="26" t="s">
        <v>502</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554</v>
      </c>
      <c r="D916" s="122"/>
      <c r="E916" s="123"/>
      <c r="F916" s="123"/>
      <c r="G916" s="26" t="s">
        <v>503</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555</v>
      </c>
      <c r="C917" s="125"/>
      <c r="D917" s="126"/>
      <c r="E917" s="127" t="e">
        <f>#REF!</f>
        <v>#REF!</v>
      </c>
      <c r="F917" s="127" t="s">
        <v>539</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556</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558</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58</v>
      </c>
      <c r="C920" s="130" t="s">
        <v>559</v>
      </c>
      <c r="D920" s="107"/>
      <c r="E920" s="131"/>
      <c r="F920" s="133" t="s">
        <v>544</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58</v>
      </c>
      <c r="G922" s="26" t="s">
        <v>58</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580</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512</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544</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553</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58</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58</v>
      </c>
      <c r="G936" s="26"/>
      <c r="H936" s="26" t="s">
        <v>581</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58</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560</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58</v>
      </c>
      <c r="C946" s="142" t="s">
        <v>562</v>
      </c>
      <c r="D946" s="143" t="e">
        <f>D951</f>
        <v>#REF!</v>
      </c>
      <c r="E946" s="144" t="e">
        <f>SUM(E929:E945)</f>
        <v>#REF!</v>
      </c>
      <c r="F946" s="145" t="s">
        <v>561</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58</v>
      </c>
      <c r="C947" s="146" t="s">
        <v>582</v>
      </c>
      <c r="D947" s="147"/>
      <c r="E947" s="148" t="e">
        <f>(E946*G944+D946*G945)/G946</f>
        <v>#REF!</v>
      </c>
      <c r="F947" s="149" t="s">
        <v>583</v>
      </c>
      <c r="G947" s="26" t="s">
        <v>544</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544</v>
      </c>
      <c r="G948" s="26" t="s">
        <v>58</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584</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585</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586</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58</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58</v>
      </c>
      <c r="C954" s="65" t="s">
        <v>58</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58</v>
      </c>
      <c r="C955" s="65" t="s">
        <v>58</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68</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67</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587</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588</v>
      </c>
      <c r="E960" s="155"/>
      <c r="F960" s="156" t="s">
        <v>589</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590</v>
      </c>
      <c r="E961" s="158"/>
      <c r="F961" s="159" t="s">
        <v>591</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592</v>
      </c>
      <c r="E962" s="161" t="e">
        <f>E947</f>
        <v>#REF!</v>
      </c>
      <c r="F962" s="162" t="s">
        <v>593</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594</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93</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101</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595</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58</v>
      </c>
      <c r="F967" s="172" t="s">
        <v>596</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597</v>
      </c>
      <c r="F968" s="174" t="s">
        <v>324</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598</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599</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600</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601</v>
      </c>
      <c r="F972" s="177" t="s">
        <v>602</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58</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223</v>
      </c>
      <c r="F973" s="174" t="s">
        <v>603</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604</v>
      </c>
      <c r="E974" s="180" t="e">
        <f ca="1">BI737</f>
        <v>#REF!</v>
      </c>
      <c r="F974" s="181" t="s">
        <v>381</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605</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544</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AAA</cp:lastModifiedBy>
  <cp:lastPrinted>2023-09-05T13:48:47Z</cp:lastPrinted>
  <dcterms:created xsi:type="dcterms:W3CDTF">2023-09-05T11:53:22Z</dcterms:created>
  <dcterms:modified xsi:type="dcterms:W3CDTF">2023-12-26T17:00:46Z</dcterms:modified>
</cp:coreProperties>
</file>