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The user\Downloads\"/>
    </mc:Choice>
  </mc:AlternateContent>
  <xr:revisionPtr revIDLastSave="0" documentId="8_{58AA21B9-2A48-4903-A1F0-827307B859BA}" xr6:coauthVersionLast="47" xr6:coauthVersionMax="47" xr10:uidLastSave="{00000000-0000-0000-0000-000000000000}"/>
  <bookViews>
    <workbookView xWindow="-120" yWindow="-120" windowWidth="29040" windowHeight="15720" activeTab="2"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6" i="4" l="1"/>
  <c r="F15" i="3"/>
  <c r="C950" i="3"/>
  <c r="G944" i="3"/>
  <c r="I890" i="3" s="1"/>
  <c r="D943" i="3"/>
  <c r="D942" i="3"/>
  <c r="C942" i="3"/>
  <c r="D941" i="3"/>
  <c r="C941" i="3"/>
  <c r="D938" i="3"/>
  <c r="D937" i="3"/>
  <c r="E936" i="3"/>
  <c r="D936" i="3"/>
  <c r="E935" i="3"/>
  <c r="E934" i="3"/>
  <c r="D934" i="3"/>
  <c r="C934" i="3"/>
  <c r="F929" i="3"/>
  <c r="F928" i="3"/>
  <c r="E928" i="3"/>
  <c r="F927" i="3"/>
  <c r="BA760" i="3" s="1"/>
  <c r="E917" i="3"/>
  <c r="F915" i="3"/>
  <c r="D914" i="3"/>
  <c r="B914" i="3"/>
  <c r="E913" i="3"/>
  <c r="C913" i="3"/>
  <c r="E912" i="3"/>
  <c r="E911" i="3"/>
  <c r="G910" i="3"/>
  <c r="E910" i="3"/>
  <c r="D910" i="3"/>
  <c r="B910" i="3"/>
  <c r="G909" i="3"/>
  <c r="G911" i="3" s="1"/>
  <c r="E909" i="3"/>
  <c r="D909" i="3"/>
  <c r="B909" i="3"/>
  <c r="G908" i="3"/>
  <c r="E908" i="3"/>
  <c r="D908" i="3"/>
  <c r="B908" i="3"/>
  <c r="G907" i="3"/>
  <c r="E907" i="3"/>
  <c r="B907" i="3"/>
  <c r="E906" i="3"/>
  <c r="B906" i="3"/>
  <c r="B911" i="3" s="1"/>
  <c r="G905" i="3"/>
  <c r="F904" i="3"/>
  <c r="F903" i="3"/>
  <c r="F902" i="3"/>
  <c r="C898" i="3"/>
  <c r="H882" i="3"/>
  <c r="K880" i="3"/>
  <c r="H878" i="3"/>
  <c r="H877" i="3"/>
  <c r="H867" i="3"/>
  <c r="N855" i="3"/>
  <c r="M855" i="3"/>
  <c r="N854" i="3"/>
  <c r="M854" i="3"/>
  <c r="N853" i="3"/>
  <c r="M853" i="3"/>
  <c r="L853" i="3"/>
  <c r="M852" i="3"/>
  <c r="N851" i="3"/>
  <c r="N850" i="3"/>
  <c r="N856" i="3" s="1"/>
  <c r="M850" i="3"/>
  <c r="Y827" i="3"/>
  <c r="Z827" i="3" s="1"/>
  <c r="Z825" i="3"/>
  <c r="Z824" i="3"/>
  <c r="Z823" i="3"/>
  <c r="X822" i="3"/>
  <c r="X819" i="3"/>
  <c r="Y817" i="3"/>
  <c r="Z817" i="3" s="1"/>
  <c r="Y815" i="3"/>
  <c r="Z815" i="3" s="1"/>
  <c r="BF814" i="3"/>
  <c r="BM723" i="3" s="1"/>
  <c r="BD814" i="3"/>
  <c r="BE814" i="3" s="1"/>
  <c r="Y814" i="3"/>
  <c r="BE812" i="3"/>
  <c r="X812" i="3"/>
  <c r="BE811" i="3"/>
  <c r="X811" i="3"/>
  <c r="BE808" i="3"/>
  <c r="BE809" i="3" s="1"/>
  <c r="BK723" i="3" s="1"/>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N752" i="3" s="1"/>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AZ760" i="3"/>
  <c r="AB757" i="3"/>
  <c r="S757" i="3"/>
  <c r="N757" i="3"/>
  <c r="AG756" i="3"/>
  <c r="AG755" i="3"/>
  <c r="AE754" i="3"/>
  <c r="Z754" i="3"/>
  <c r="W753" i="3"/>
  <c r="N753" i="3"/>
  <c r="M753" i="3"/>
  <c r="W752" i="3"/>
  <c r="AX734" i="3" s="1"/>
  <c r="AJ751" i="3"/>
  <c r="AJ752" i="3" s="1"/>
  <c r="N751" i="3"/>
  <c r="M751" i="3"/>
  <c r="N750" i="3"/>
  <c r="BG749" i="3"/>
  <c r="AD749" i="3"/>
  <c r="AC749" i="3"/>
  <c r="AE750" i="3" s="1"/>
  <c r="N749" i="3"/>
  <c r="M749" i="3"/>
  <c r="N748" i="3"/>
  <c r="AD747" i="3"/>
  <c r="AC747" i="3"/>
  <c r="S747" i="3"/>
  <c r="V747" i="3" s="1"/>
  <c r="AJ744" i="3"/>
  <c r="AJ745" i="3" s="1"/>
  <c r="BH742" i="3"/>
  <c r="BE742" i="3"/>
  <c r="AB742" i="3"/>
  <c r="Z742" i="3"/>
  <c r="BE741" i="3"/>
  <c r="AV741" i="3"/>
  <c r="W739" i="3"/>
  <c r="AF738" i="3"/>
  <c r="AE738" i="3"/>
  <c r="AE740" i="3" s="1"/>
  <c r="AX736" i="3"/>
  <c r="AX735" i="3"/>
  <c r="R735" i="3"/>
  <c r="O735" i="3"/>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S704" i="3"/>
  <c r="T704" i="3" s="1"/>
  <c r="T705"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s="1"/>
  <c r="L217" i="3"/>
  <c r="I217" i="3"/>
  <c r="L216" i="3"/>
  <c r="I216" i="3"/>
  <c r="L215" i="3"/>
  <c r="I215" i="3"/>
  <c r="L214" i="3"/>
  <c r="I214" i="3" s="1"/>
  <c r="L213" i="3"/>
  <c r="I213" i="3" s="1"/>
  <c r="L212" i="3"/>
  <c r="I212" i="3"/>
  <c r="F212" i="3"/>
  <c r="L211" i="3"/>
  <c r="I211" i="3" s="1"/>
  <c r="F211" i="3"/>
  <c r="L210" i="3"/>
  <c r="I210" i="3"/>
  <c r="F210" i="3"/>
  <c r="L209" i="3"/>
  <c r="I209" i="3" s="1"/>
  <c r="L208" i="3"/>
  <c r="I208" i="3" s="1"/>
  <c r="L207" i="3"/>
  <c r="I207" i="3" s="1"/>
  <c r="L206" i="3"/>
  <c r="L205" i="3"/>
  <c r="G204" i="3"/>
  <c r="F204" i="3"/>
  <c r="G203" i="3"/>
  <c r="G202" i="3"/>
  <c r="BF50" i="3" s="1"/>
  <c r="D202" i="3"/>
  <c r="B202" i="3"/>
  <c r="C201" i="3"/>
  <c r="D198" i="3"/>
  <c r="B198" i="3"/>
  <c r="D197" i="3"/>
  <c r="B197" i="3"/>
  <c r="D196" i="3"/>
  <c r="B196" i="3"/>
  <c r="B195" i="3"/>
  <c r="B194" i="3"/>
  <c r="B199" i="3" s="1"/>
  <c r="F193" i="3"/>
  <c r="H192" i="3"/>
  <c r="J175" i="3" s="1"/>
  <c r="G190" i="3"/>
  <c r="F189" i="3"/>
  <c r="F187" i="3"/>
  <c r="F182" i="3" s="1"/>
  <c r="C186" i="3"/>
  <c r="G180" i="3"/>
  <c r="G179" i="3"/>
  <c r="G178" i="3"/>
  <c r="G177" i="3"/>
  <c r="I173" i="3"/>
  <c r="M168" i="3"/>
  <c r="I167" i="3"/>
  <c r="I163" i="3"/>
  <c r="I162" i="3"/>
  <c r="I161" i="3"/>
  <c r="H160" i="3"/>
  <c r="H158" i="3"/>
  <c r="H157" i="3"/>
  <c r="H159" i="3" s="1"/>
  <c r="BA32" i="3" s="1"/>
  <c r="H156" i="3"/>
  <c r="H193" i="3" s="1"/>
  <c r="H155" i="3"/>
  <c r="D155" i="3"/>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R20" i="3" s="1"/>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O94" i="3"/>
  <c r="P94" i="3" s="1"/>
  <c r="Q94" i="3" s="1"/>
  <c r="BJ93" i="3"/>
  <c r="BI93" i="3"/>
  <c r="P93" i="3"/>
  <c r="Q93" i="3" s="1"/>
  <c r="O93" i="3"/>
  <c r="BJ92" i="3"/>
  <c r="BI92" i="3"/>
  <c r="P92" i="3"/>
  <c r="Q92" i="3" s="1"/>
  <c r="O92" i="3"/>
  <c r="Q91" i="3"/>
  <c r="P91" i="3"/>
  <c r="O91" i="3"/>
  <c r="O90" i="3"/>
  <c r="P90" i="3" s="1"/>
  <c r="Q90" i="3" s="1"/>
  <c r="P89" i="3"/>
  <c r="Q89" i="3" s="1"/>
  <c r="O89" i="3"/>
  <c r="O88" i="3"/>
  <c r="P88" i="3" s="1"/>
  <c r="Q88" i="3" s="1"/>
  <c r="O87" i="3"/>
  <c r="P87" i="3" s="1"/>
  <c r="Q87" i="3" s="1"/>
  <c r="O86" i="3"/>
  <c r="P86" i="3" s="1"/>
  <c r="Q86" i="3" s="1"/>
  <c r="W80" i="3"/>
  <c r="W78" i="3"/>
  <c r="BF75" i="3"/>
  <c r="L75" i="3"/>
  <c r="K75" i="3"/>
  <c r="I75" i="3"/>
  <c r="BF74" i="3"/>
  <c r="W72" i="3"/>
  <c r="T64" i="3"/>
  <c r="T61" i="3"/>
  <c r="T63" i="3" s="1"/>
  <c r="P61" i="3"/>
  <c r="L61" i="3"/>
  <c r="P60" i="3"/>
  <c r="L60" i="3"/>
  <c r="P59" i="3"/>
  <c r="L59" i="3"/>
  <c r="P58" i="3"/>
  <c r="L58" i="3"/>
  <c r="P57" i="3"/>
  <c r="L57" i="3"/>
  <c r="P56" i="3"/>
  <c r="L56" i="3"/>
  <c r="P55" i="3"/>
  <c r="L55" i="3"/>
  <c r="P54" i="3"/>
  <c r="P53" i="3"/>
  <c r="P52" i="3"/>
  <c r="P51" i="3"/>
  <c r="BE50" i="3"/>
  <c r="AB50" i="3"/>
  <c r="S108" i="3" s="1"/>
  <c r="P50" i="3"/>
  <c r="AB49" i="3"/>
  <c r="Z49" i="3"/>
  <c r="P49" i="3"/>
  <c r="AB48" i="3"/>
  <c r="P48" i="3"/>
  <c r="M48" i="3"/>
  <c r="AG47" i="3"/>
  <c r="Z50" i="3" s="1"/>
  <c r="Z51" i="3" s="1"/>
  <c r="P47" i="3"/>
  <c r="M47" i="3"/>
  <c r="BF46" i="3"/>
  <c r="AO46" i="3"/>
  <c r="AL46" i="3"/>
  <c r="P46" i="3"/>
  <c r="K46" i="3"/>
  <c r="K47" i="3" s="1"/>
  <c r="AL45" i="3"/>
  <c r="P45" i="3"/>
  <c r="AJ44" i="3"/>
  <c r="AE44" i="3"/>
  <c r="P44" i="3"/>
  <c r="AZ42" i="3"/>
  <c r="BA44" i="3" s="1"/>
  <c r="AB42" i="3"/>
  <c r="BC24" i="3" s="1"/>
  <c r="N42" i="3"/>
  <c r="M42" i="3"/>
  <c r="AO41" i="3"/>
  <c r="AO42" i="3" s="1"/>
  <c r="AF41" i="3"/>
  <c r="AF42" i="3" s="1"/>
  <c r="BL40" i="3"/>
  <c r="P40" i="3"/>
  <c r="Q40" i="3" s="1"/>
  <c r="R40" i="3" s="1"/>
  <c r="I40" i="3"/>
  <c r="I41" i="3" s="1"/>
  <c r="I42" i="3" s="1"/>
  <c r="I43" i="3" s="1"/>
  <c r="I44" i="3" s="1"/>
  <c r="I45" i="3" s="1"/>
  <c r="BL39" i="3"/>
  <c r="BJ39" i="3"/>
  <c r="AI39" i="3"/>
  <c r="AH39" i="3"/>
  <c r="AJ40" i="3" s="1"/>
  <c r="AE39" i="3"/>
  <c r="AE38" i="3" s="1"/>
  <c r="P39" i="3"/>
  <c r="O39" i="3"/>
  <c r="C39" i="3"/>
  <c r="X23" i="3" s="1"/>
  <c r="AG38" i="3"/>
  <c r="AI37" i="3"/>
  <c r="AH37" i="3"/>
  <c r="AJ36" i="3" s="1"/>
  <c r="X37" i="3"/>
  <c r="AA37" i="3" s="1"/>
  <c r="O37" i="3"/>
  <c r="K37" i="3"/>
  <c r="AQ36" i="3"/>
  <c r="L36" i="3"/>
  <c r="I35" i="3"/>
  <c r="H35" i="3"/>
  <c r="AO34" i="3"/>
  <c r="AO35" i="3" s="1"/>
  <c r="I34" i="3"/>
  <c r="U33" i="3"/>
  <c r="V33" i="3" s="1"/>
  <c r="T33" i="3"/>
  <c r="W33" i="3" s="1"/>
  <c r="T30" i="3" s="1"/>
  <c r="D135" i="3" s="1"/>
  <c r="BM32" i="3"/>
  <c r="BJ32" i="3"/>
  <c r="AG32" i="3"/>
  <c r="AE32" i="3"/>
  <c r="U32" i="3"/>
  <c r="V32" i="3" s="1"/>
  <c r="W32" i="3" s="1"/>
  <c r="T29" i="3" s="1"/>
  <c r="D134" i="3" s="1"/>
  <c r="BJ31" i="3"/>
  <c r="BA31" i="3"/>
  <c r="AO31" i="3"/>
  <c r="AP31" i="3" s="1"/>
  <c r="S30" i="3"/>
  <c r="E30" i="3"/>
  <c r="D30" i="3"/>
  <c r="C30" i="3"/>
  <c r="AY29" i="3"/>
  <c r="AB29" i="3"/>
  <c r="S29" i="3"/>
  <c r="F29" i="3"/>
  <c r="AK28" i="3"/>
  <c r="AJ28" i="3"/>
  <c r="AJ30" i="3" s="1"/>
  <c r="Q28" i="3"/>
  <c r="P28" i="3"/>
  <c r="P29" i="3" s="1"/>
  <c r="BJ26" i="3"/>
  <c r="BC26" i="3"/>
  <c r="AF27" i="3" s="1"/>
  <c r="AR27" i="3" s="1"/>
  <c r="E26" i="3"/>
  <c r="D26" i="3"/>
  <c r="C26" i="3"/>
  <c r="F26" i="3" s="1"/>
  <c r="J66" i="3" s="1"/>
  <c r="K66" i="3" s="1"/>
  <c r="C18" i="3" s="1"/>
  <c r="C37" i="3" s="1"/>
  <c r="DF25" i="3"/>
  <c r="BJ25" i="3"/>
  <c r="BC25" i="3"/>
  <c r="W25" i="3"/>
  <c r="T25" i="3"/>
  <c r="Q25" i="3"/>
  <c r="P25" i="3"/>
  <c r="S25" i="3" s="1"/>
  <c r="F25" i="3"/>
  <c r="C17" i="3" s="1"/>
  <c r="F16" i="3" s="1"/>
  <c r="BJ24" i="3"/>
  <c r="AX24" i="3"/>
  <c r="R24" i="3"/>
  <c r="O24" i="3"/>
  <c r="N24" i="3"/>
  <c r="CS23" i="3"/>
  <c r="CS24" i="3" s="1"/>
  <c r="CS25" i="3" s="1"/>
  <c r="CS26" i="3" s="1"/>
  <c r="CS27" i="3" s="1"/>
  <c r="BJ23" i="3"/>
  <c r="CS22" i="3"/>
  <c r="BJ22" i="3"/>
  <c r="BJ27" i="3" s="1"/>
  <c r="BB22" i="3"/>
  <c r="S22" i="3"/>
  <c r="O22" i="3"/>
  <c r="S21" i="3"/>
  <c r="O21" i="3"/>
  <c r="BS20" i="3"/>
  <c r="BB20" i="3"/>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AL14" i="3"/>
  <c r="AE14" i="3"/>
  <c r="S14" i="3"/>
  <c r="R14" i="3"/>
  <c r="P14" i="3"/>
  <c r="K14" i="3"/>
  <c r="CT13" i="3"/>
  <c r="CT14" i="3" s="1"/>
  <c r="CT15" i="3" s="1"/>
  <c r="CT16" i="3" s="1"/>
  <c r="CT17" i="3" s="1"/>
  <c r="CT18" i="3" s="1"/>
  <c r="CT19" i="3" s="1"/>
  <c r="CT20" i="3" s="1"/>
  <c r="CT21" i="3" s="1"/>
  <c r="CT22" i="3" s="1"/>
  <c r="CT23" i="3" s="1"/>
  <c r="CT24" i="3" s="1"/>
  <c r="CT25" i="3" s="1"/>
  <c r="CT26" i="3" s="1"/>
  <c r="CT27" i="3" s="1"/>
  <c r="W13" i="3"/>
  <c r="S13" i="3"/>
  <c r="P13" i="3"/>
  <c r="S12" i="3"/>
  <c r="R12" i="3"/>
  <c r="P12" i="3"/>
  <c r="AD11" i="3"/>
  <c r="S11" i="3"/>
  <c r="P11" i="3"/>
  <c r="N10" i="3"/>
  <c r="V9" i="3"/>
  <c r="Q9" i="3"/>
  <c r="AJ8" i="3"/>
  <c r="P4" i="3" s="1"/>
  <c r="P6" i="3" s="1"/>
  <c r="T8" i="3"/>
  <c r="V7" i="3"/>
  <c r="V8" i="3" s="1"/>
  <c r="T7" i="3"/>
  <c r="P106" i="3" s="1"/>
  <c r="O7" i="3"/>
  <c r="O19" i="3" s="1"/>
  <c r="N7" i="3"/>
  <c r="N8" i="3" s="1"/>
  <c r="N25" i="3" s="1"/>
  <c r="C7" i="3"/>
  <c r="K13" i="3" s="1"/>
  <c r="N3" i="3"/>
  <c r="G3" i="3"/>
  <c r="C21" i="3" s="1"/>
  <c r="N2" i="3"/>
  <c r="X1" i="3"/>
  <c r="Y1" i="3" s="1"/>
  <c r="Y2" i="3" s="1"/>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M768" i="4" s="1"/>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N752" i="4" s="1"/>
  <c r="R788" i="4"/>
  <c r="K788" i="4"/>
  <c r="K787" i="4"/>
  <c r="K786" i="4"/>
  <c r="BA785" i="4"/>
  <c r="K785" i="4"/>
  <c r="BA784" i="4"/>
  <c r="L783" i="4"/>
  <c r="R782" i="4"/>
  <c r="I775" i="4"/>
  <c r="N738" i="4" s="1"/>
  <c r="G919" i="4" s="1"/>
  <c r="AZ760" i="4"/>
  <c r="AB757" i="4"/>
  <c r="S757" i="4"/>
  <c r="N757" i="4"/>
  <c r="AG756" i="4"/>
  <c r="AG755" i="4"/>
  <c r="AE754" i="4"/>
  <c r="Z754" i="4"/>
  <c r="W753" i="4"/>
  <c r="N753" i="4"/>
  <c r="M753" i="4"/>
  <c r="W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6" i="4"/>
  <c r="Y727" i="4" s="1"/>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S23" i="4" s="1"/>
  <c r="D228" i="4"/>
  <c r="C228" i="4"/>
  <c r="C227" i="4"/>
  <c r="C226" i="4"/>
  <c r="D225" i="4"/>
  <c r="C225" i="4"/>
  <c r="D224" i="4"/>
  <c r="C224" i="4"/>
  <c r="L223" i="4"/>
  <c r="I223" i="4" s="1"/>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7" i="4"/>
  <c r="F188" i="4" s="1"/>
  <c r="C186" i="4"/>
  <c r="F183"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O102" i="4"/>
  <c r="P102" i="4" s="1"/>
  <c r="Q102" i="4" s="1"/>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O94" i="4"/>
  <c r="P94" i="4" s="1"/>
  <c r="Q94" i="4" s="1"/>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AF42" i="4"/>
  <c r="AB42" i="4"/>
  <c r="BC24" i="4" s="1"/>
  <c r="AG36" i="4" s="1"/>
  <c r="N42" i="4"/>
  <c r="M42" i="4"/>
  <c r="AO41" i="4"/>
  <c r="AO42" i="4" s="1"/>
  <c r="AF41" i="4"/>
  <c r="BL40" i="4"/>
  <c r="P40" i="4"/>
  <c r="I40" i="4"/>
  <c r="I41" i="4" s="1"/>
  <c r="I42" i="4" s="1"/>
  <c r="I43" i="4" s="1"/>
  <c r="I44" i="4" s="1"/>
  <c r="I45" i="4" s="1"/>
  <c r="BL39" i="4"/>
  <c r="BL41" i="4" s="1"/>
  <c r="BL42" i="4" s="1"/>
  <c r="BJ39" i="4"/>
  <c r="AI39" i="4"/>
  <c r="AH39" i="4"/>
  <c r="AE39" i="4"/>
  <c r="AE38" i="4" s="1"/>
  <c r="Q39" i="4"/>
  <c r="P39" i="4"/>
  <c r="Q40" i="4" s="1"/>
  <c r="O39" i="4"/>
  <c r="AG38" i="4"/>
  <c r="AI37" i="4"/>
  <c r="AH37" i="4"/>
  <c r="AJ36" i="4" s="1"/>
  <c r="X37" i="4"/>
  <c r="AA37" i="4" s="1"/>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R24" i="4" s="1"/>
  <c r="P25" i="4"/>
  <c r="S25" i="4" s="1"/>
  <c r="N24" i="4"/>
  <c r="F25" i="4"/>
  <c r="BJ24" i="4"/>
  <c r="AX24" i="4"/>
  <c r="BJ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P11" i="4"/>
  <c r="Q9" i="4"/>
  <c r="AJ8" i="4"/>
  <c r="P4" i="4" s="1"/>
  <c r="P6" i="4" s="1"/>
  <c r="T8" i="4"/>
  <c r="S11" i="4"/>
  <c r="V7" i="4"/>
  <c r="V8" i="4" s="1"/>
  <c r="T7" i="4"/>
  <c r="P106" i="4" s="1"/>
  <c r="C7" i="4"/>
  <c r="G3" i="4"/>
  <c r="X1" i="4"/>
  <c r="Y1" i="4" s="1"/>
  <c r="Y2" i="4" s="1"/>
  <c r="S1" i="4"/>
  <c r="H167" i="4" s="1"/>
  <c r="B5" i="1"/>
  <c r="B4" i="1"/>
  <c r="AU44" i="1"/>
  <c r="AV44" i="1"/>
  <c r="AV45" i="1"/>
  <c r="C39" i="1"/>
  <c r="C40" i="1"/>
  <c r="AD738" i="3" l="1"/>
  <c r="AA738" i="3"/>
  <c r="AB747" i="3" s="1"/>
  <c r="I779" i="3" s="1"/>
  <c r="R39" i="4"/>
  <c r="O36" i="4" s="1"/>
  <c r="AF25" i="4"/>
  <c r="F182" i="4"/>
  <c r="F184" i="4"/>
  <c r="R5" i="4"/>
  <c r="R19" i="4" s="1"/>
  <c r="F185" i="4"/>
  <c r="R39" i="3"/>
  <c r="O36" i="3" s="1"/>
  <c r="N755" i="3"/>
  <c r="Q39" i="3"/>
  <c r="BF44" i="3"/>
  <c r="F186" i="4"/>
  <c r="N756" i="3"/>
  <c r="BE749" i="3"/>
  <c r="F30" i="3"/>
  <c r="F905" i="3"/>
  <c r="G970" i="3" s="1"/>
  <c r="D227" i="3"/>
  <c r="BL41" i="3"/>
  <c r="BL42" i="3" s="1"/>
  <c r="F146" i="3"/>
  <c r="G145" i="3" s="1"/>
  <c r="G142" i="3" s="1"/>
  <c r="AD750" i="3"/>
  <c r="N758" i="3"/>
  <c r="BD808" i="3"/>
  <c r="N756" i="4"/>
  <c r="F213" i="4"/>
  <c r="V21" i="3"/>
  <c r="AI40" i="3"/>
  <c r="N766" i="3"/>
  <c r="N758" i="4"/>
  <c r="BA44" i="4"/>
  <c r="F213" i="3"/>
  <c r="J797" i="3"/>
  <c r="C951" i="3"/>
  <c r="K77" i="3"/>
  <c r="M49" i="3"/>
  <c r="BF20" i="4"/>
  <c r="BF26" i="4" s="1"/>
  <c r="BM20" i="3"/>
  <c r="BM26" i="3" s="1"/>
  <c r="I902" i="3"/>
  <c r="BN20" i="3"/>
  <c r="BU24" i="3"/>
  <c r="BU22" i="3"/>
  <c r="BU27" i="3" s="1"/>
  <c r="BU26" i="3"/>
  <c r="BL20" i="3"/>
  <c r="BL23" i="3" s="1"/>
  <c r="BJ20" i="3"/>
  <c r="BJ29" i="3" s="1"/>
  <c r="BI19" i="3"/>
  <c r="BF20" i="3"/>
  <c r="BF25" i="3" s="1"/>
  <c r="BS21" i="3"/>
  <c r="BS23" i="3" s="1"/>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O25" i="3"/>
  <c r="F14" i="3"/>
  <c r="C10" i="3" s="1"/>
  <c r="J187" i="3"/>
  <c r="U21" i="3"/>
  <c r="BE26" i="3"/>
  <c r="BE24" i="3"/>
  <c r="BE25" i="3"/>
  <c r="BE22" i="3"/>
  <c r="BE27" i="3" s="1"/>
  <c r="AG36" i="3"/>
  <c r="AI28" i="3"/>
  <c r="AF28" i="3"/>
  <c r="AG37" i="3" s="1"/>
  <c r="AI36" i="3"/>
  <c r="M742" i="3"/>
  <c r="M756" i="3" s="1"/>
  <c r="BA43" i="3"/>
  <c r="AF25" i="3" s="1"/>
  <c r="N81" i="3"/>
  <c r="M169" i="3" s="1"/>
  <c r="V22" i="3"/>
  <c r="U22" i="3" s="1"/>
  <c r="BP22" i="3"/>
  <c r="BP24" i="3"/>
  <c r="BP26" i="3"/>
  <c r="AR719" i="3"/>
  <c r="AR718" i="3" s="1"/>
  <c r="AY720" i="3" s="1"/>
  <c r="G960" i="3"/>
  <c r="AV742" i="3"/>
  <c r="BP23" i="3"/>
  <c r="X22" i="3"/>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P22" i="4"/>
  <c r="BP23" i="4"/>
  <c r="BL24" i="4"/>
  <c r="BM25" i="4"/>
  <c r="AI28" i="4"/>
  <c r="BM35" i="4"/>
  <c r="AW16" i="4"/>
  <c r="AW15" i="4" s="1"/>
  <c r="AV17" i="4" s="1"/>
  <c r="N81" i="4"/>
  <c r="M169" i="4" s="1"/>
  <c r="AB43" i="4"/>
  <c r="V21" i="4"/>
  <c r="BM24" i="4"/>
  <c r="BM26" i="4"/>
  <c r="H779" i="4"/>
  <c r="H780" i="4"/>
  <c r="P107" i="4"/>
  <c r="J188" i="4" s="1"/>
  <c r="BM22" i="4"/>
  <c r="O24" i="4"/>
  <c r="BP25" i="4"/>
  <c r="BE26" i="4"/>
  <c r="BC27" i="4"/>
  <c r="AZ38" i="4" s="1"/>
  <c r="V32" i="4"/>
  <c r="W32" i="4" s="1"/>
  <c r="T29" i="4" s="1"/>
  <c r="D134" i="4" s="1"/>
  <c r="AY32" i="4"/>
  <c r="AY36" i="4" s="1"/>
  <c r="AY34" i="4" s="1"/>
  <c r="V33" i="4"/>
  <c r="W33" i="4" s="1"/>
  <c r="T30" i="4" s="1"/>
  <c r="D135" i="4" s="1"/>
  <c r="AI36" i="4"/>
  <c r="R40" i="4"/>
  <c r="O37" i="4" s="1"/>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F143" i="3" l="1"/>
  <c r="BF23" i="4"/>
  <c r="BM22" i="3"/>
  <c r="BE24" i="4"/>
  <c r="BM24" i="3"/>
  <c r="BM25" i="3"/>
  <c r="BF22" i="4"/>
  <c r="BF27" i="4" s="1"/>
  <c r="BS22" i="3"/>
  <c r="BS27" i="3" s="1"/>
  <c r="BM35" i="3"/>
  <c r="F143" i="4"/>
  <c r="F31" i="3"/>
  <c r="F32" i="3"/>
  <c r="BM23" i="3"/>
  <c r="BM27" i="3" s="1"/>
  <c r="BE25" i="4"/>
  <c r="BE22" i="4"/>
  <c r="BE27" i="4" s="1"/>
  <c r="BF25" i="4"/>
  <c r="F33" i="3"/>
  <c r="BK19" i="4"/>
  <c r="BK20" i="4" s="1"/>
  <c r="BF24" i="4"/>
  <c r="F205" i="4"/>
  <c r="F216" i="4" s="1"/>
  <c r="Q19" i="4"/>
  <c r="W81" i="4" s="1"/>
  <c r="BG733" i="4"/>
  <c r="BF23" i="3"/>
  <c r="BF24" i="3"/>
  <c r="BG739" i="4"/>
  <c r="BG732" i="4"/>
  <c r="BG737" i="4" s="1"/>
  <c r="BF22" i="3"/>
  <c r="BF27" i="3" s="1"/>
  <c r="BG734" i="4"/>
  <c r="BF26"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H786" i="4"/>
  <c r="AI29" i="4"/>
  <c r="T9" i="4"/>
  <c r="BN23" i="4"/>
  <c r="BN22" i="4"/>
  <c r="BN27" i="4" s="1"/>
  <c r="BN26" i="4"/>
  <c r="BN24" i="4"/>
  <c r="BN25" i="4"/>
  <c r="Q8" i="4"/>
  <c r="R10" i="4"/>
  <c r="H789" i="4"/>
  <c r="BK28" i="4" l="1"/>
  <c r="BN29" i="4"/>
  <c r="BV27" i="4" s="1"/>
  <c r="BM33" i="3"/>
  <c r="BN33" i="3" s="1"/>
  <c r="BM34" i="3"/>
  <c r="BN34" i="3" s="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30" i="3" s="1"/>
  <c r="F190" i="3" s="1"/>
  <c r="BK26" i="3"/>
  <c r="BK24" i="3"/>
  <c r="BK22" i="3"/>
  <c r="BK27" i="3" s="1"/>
  <c r="BK23" i="3"/>
  <c r="BH743" i="3"/>
  <c r="BI743" i="3" s="1"/>
  <c r="BH744" i="3"/>
  <c r="BI744" i="3" s="1"/>
  <c r="Z816" i="3"/>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BJ19" i="3" l="1"/>
  <c r="R13" i="3"/>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8" i="3" l="1"/>
  <c r="BP31" i="3" s="1"/>
  <c r="BM31" i="3" s="1"/>
  <c r="BB89" i="3"/>
  <c r="M770" i="4"/>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<sst xmlns="http://schemas.openxmlformats.org/spreadsheetml/2006/main" count="2763" uniqueCount="611">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</sst>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zoomScaleNormal="100" workbookViewId="0">
      <selection activeCell="B11" sqref="B11"/>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74</v>
      </c>
      <c r="D1" s="34"/>
      <c r="E1" s="34"/>
      <c r="F1" s="27"/>
    </row>
    <row r="2" spans="1:7" ht="15" thickTop="1" x14ac:dyDescent="0.2">
      <c r="A2" s="1" t="s">
        <v>0</v>
      </c>
      <c r="B2" s="2" t="s">
        <v>1</v>
      </c>
      <c r="C2" t="s">
        <v>24</v>
      </c>
    </row>
    <row r="3" spans="1:7" x14ac:dyDescent="0.2">
      <c r="A3" s="1" t="s">
        <v>2</v>
      </c>
      <c r="B3" s="3">
        <v>1</v>
      </c>
      <c r="C3" t="s">
        <v>47</v>
      </c>
    </row>
    <row r="4" spans="1:7" x14ac:dyDescent="0.2">
      <c r="A4" s="1" t="s">
        <v>3</v>
      </c>
      <c r="B4" s="192">
        <f>IF(B9&gt;0%,0,6%)</f>
        <v>0.06</v>
      </c>
      <c r="C4" s="22" t="s">
        <v>36</v>
      </c>
      <c r="D4" s="22" t="s">
        <v>22</v>
      </c>
    </row>
    <row r="5" spans="1:7" x14ac:dyDescent="0.2">
      <c r="A5" s="1" t="s">
        <v>4</v>
      </c>
      <c r="B5" s="193">
        <f>IF(B2=B33,8.75,IF(B2=C33,8.75,0))</f>
        <v>8.75</v>
      </c>
      <c r="C5" s="22" t="s">
        <v>36</v>
      </c>
      <c r="D5" s="22" t="s">
        <v>23</v>
      </c>
    </row>
    <row r="6" spans="1:7" x14ac:dyDescent="0.2">
      <c r="A6" s="1" t="s">
        <v>38</v>
      </c>
      <c r="B6" s="5">
        <v>1</v>
      </c>
      <c r="C6" t="s">
        <v>24</v>
      </c>
    </row>
    <row r="7" spans="1:7" x14ac:dyDescent="0.2">
      <c r="A7" s="1" t="s">
        <v>5</v>
      </c>
      <c r="B7" s="4">
        <v>0</v>
      </c>
      <c r="C7" t="s">
        <v>45</v>
      </c>
    </row>
    <row r="8" spans="1:7" x14ac:dyDescent="0.2">
      <c r="A8" s="1" t="s">
        <v>37</v>
      </c>
      <c r="B8" s="4">
        <v>0.9</v>
      </c>
      <c r="C8" t="s">
        <v>44</v>
      </c>
    </row>
    <row r="9" spans="1:7" x14ac:dyDescent="0.2">
      <c r="A9" s="6" t="s">
        <v>6</v>
      </c>
      <c r="B9" s="4">
        <v>0</v>
      </c>
      <c r="C9" t="s">
        <v>46</v>
      </c>
    </row>
    <row r="10" spans="1:7" x14ac:dyDescent="0.2">
      <c r="A10" s="6" t="s">
        <v>7</v>
      </c>
      <c r="B10" s="4" t="s">
        <v>8</v>
      </c>
      <c r="C10" t="s">
        <v>25</v>
      </c>
      <c r="E10" s="10"/>
    </row>
    <row r="11" spans="1:7" ht="15" thickBot="1" x14ac:dyDescent="0.25">
      <c r="A11" s="17" t="s">
        <v>42</v>
      </c>
      <c r="B11" s="18" t="s">
        <v>28</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s="194" t="s">
        <v>608</v>
      </c>
      <c r="E14" s="194"/>
      <c r="F14" s="194"/>
      <c r="G14" s="194"/>
    </row>
    <row r="15" spans="1:7" ht="15.75" thickBot="1" x14ac:dyDescent="0.3">
      <c r="A15" s="16"/>
      <c r="B15" s="16"/>
      <c r="C15" s="16"/>
      <c r="D15" s="13" t="s">
        <v>40</v>
      </c>
      <c r="E15" s="197">
        <v>0</v>
      </c>
      <c r="F15" s="198">
        <f>($E$15/24)+AX44</f>
        <v>0</v>
      </c>
      <c r="G15" s="11" t="s">
        <v>30</v>
      </c>
    </row>
    <row r="16" spans="1:7" ht="15.75" thickBot="1" x14ac:dyDescent="0.3">
      <c r="D16" s="13" t="s">
        <v>41</v>
      </c>
      <c r="E16" s="197">
        <v>25</v>
      </c>
      <c r="F16" s="198">
        <f>$E$16/30+AX45</f>
        <v>0.93333333333333335</v>
      </c>
      <c r="G16" s="11" t="s">
        <v>31</v>
      </c>
    </row>
    <row r="17" spans="1:69" x14ac:dyDescent="0.2">
      <c r="A17" s="6" t="s">
        <v>39</v>
      </c>
      <c r="C17" s="208"/>
      <c r="D17" s="208"/>
      <c r="E17" s="208"/>
    </row>
    <row r="18" spans="1:69" x14ac:dyDescent="0.2">
      <c r="C18" s="19"/>
      <c r="D18" s="19"/>
      <c r="E18" s="19"/>
      <c r="F18" s="6"/>
      <c r="H18" s="10"/>
    </row>
    <row r="19" spans="1:69" x14ac:dyDescent="0.2">
      <c r="A19" t="s">
        <v>48</v>
      </c>
      <c r="C19" s="19"/>
      <c r="D19" s="19"/>
      <c r="E19" s="19"/>
      <c r="F19" s="6"/>
      <c r="H19" s="10"/>
    </row>
    <row r="20" spans="1:69" ht="15" thickBot="1" x14ac:dyDescent="0.25">
      <c r="A20" s="7" t="s">
        <v>33</v>
      </c>
      <c r="B20" s="195">
        <v>0</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0.1825</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0.12000000000000001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0.30249999999999999</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0.83333333333333337</v>
      </c>
      <c r="AW45" s="199">
        <f>AV45/(AV44+AV45)</f>
        <v>1</v>
      </c>
      <c r="AX45" s="199">
        <f>AW45*AU44</f>
        <v>0.1</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65.77</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-5.769999999999996</v>
      </c>
      <c r="P711" s="27" t="s">
        <v>96</v>
      </c>
      <c r="Q711" s="27">
        <f ca="1">Q710+O711</f>
        <v>-5.4099999999999957</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27.230000000000004</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13.26</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45286</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-0.30959999999999999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13.26</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abSelected="1" zoomScale="85" zoomScaleNormal="85" workbookViewId="0">
      <selection activeCell="G6" sqref="G6"/>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f>N82</f>
        <v>8319.242761597714</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3179.46</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23</v>
      </c>
      <c r="D6" s="37" t="s">
        <v>81</v>
      </c>
      <c r="E6" s="38"/>
      <c r="F6" s="41"/>
      <c r="G6" s="27"/>
      <c r="H6" s="27"/>
      <c r="I6" s="27"/>
      <c r="J6" s="27"/>
      <c r="K6" s="27"/>
      <c r="L6" s="27"/>
      <c r="M6" s="27"/>
      <c r="N6" s="27" t="s">
        <v>82</v>
      </c>
      <c r="O6" s="27" t="s">
        <v>83</v>
      </c>
      <c r="P6" s="27">
        <f>P4*C9</f>
        <v>3709.3805982000003</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16</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2</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1.1666700000000001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t="e">
        <f>F14</f>
        <v>#N/A</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0.05</v>
      </c>
      <c r="D13" s="209" t="s">
        <v>118</v>
      </c>
      <c r="E13" s="210"/>
      <c r="F13" s="27"/>
      <c r="G13" s="27"/>
      <c r="H13" s="27"/>
      <c r="I13" s="27"/>
      <c r="J13" s="27"/>
      <c r="K13" s="27">
        <f>($I$7+$I$8+$I$10+$I$11+$I$9+500)*1.2%*($C$7)*C9</f>
        <v>61.250175000000006</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0.1</v>
      </c>
      <c r="D14" s="209" t="s">
        <v>133</v>
      </c>
      <c r="E14" s="210"/>
      <c r="F14" s="27" t="e">
        <f>F16*(F15+1)</f>
        <v>#N/A</v>
      </c>
      <c r="G14" s="27"/>
      <c r="H14" s="27"/>
      <c r="I14" s="27"/>
      <c r="J14" s="27"/>
      <c r="K14" s="27">
        <f>($I$7+$I$8+$I$10+$I$11+$I$9+500)*1.2%*($C$8)*C9</f>
        <v>112.00032000000002</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t="e">
        <f>VLOOKUP(C16,CS12:CT27,2,TRUE)*0.01</f>
        <v>#N/A</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0</v>
      </c>
      <c r="D16" s="209" t="s">
        <v>149</v>
      </c>
      <c r="E16" s="210"/>
      <c r="F16" s="27">
        <f>IF(AND(C19=F18,E25&gt;0),VLOOKUP(C17,CZ12:DA43,2,TRUE)*0.01+E25*0.007+0.006,IF(C19=F18,VLOOKUP(C17,CZ12:DA43,2,TRUE)*0.01,VLOOKUP(C17,CZ12:DB43,3,TRUE)*0.01))</f>
        <v>0.22500000000000001</v>
      </c>
      <c r="G16" s="27" t="str">
        <f>IF(C5=CC12,"לא מחושב להמרה","")</f>
        <v>לא מחושב להמרה</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5</v>
      </c>
      <c r="D17" s="41" t="s">
        <v>155</v>
      </c>
      <c r="E17" s="39"/>
      <c r="F17" s="27"/>
      <c r="G17" s="27"/>
      <c r="H17" s="27"/>
      <c r="I17" s="27"/>
      <c r="J17" s="27"/>
      <c r="K17" s="27"/>
      <c r="L17" s="27"/>
      <c r="M17" s="27"/>
      <c r="N17" s="27"/>
      <c r="O17" s="27"/>
      <c r="P17" s="27" t="s">
        <v>156</v>
      </c>
      <c r="Q17" s="27">
        <v>0</v>
      </c>
      <c r="R17" s="27">
        <f>R10*1.2%*C8</f>
        <v>1339.2326399999999</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23</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3</v>
      </c>
      <c r="D25" s="58">
        <v>2</v>
      </c>
      <c r="E25" s="58">
        <v>0</v>
      </c>
      <c r="F25" s="59">
        <f>SUM(C25:E25)</f>
        <v>5</v>
      </c>
      <c r="G25" s="27" t="s">
        <v>262</v>
      </c>
      <c r="H25" s="27"/>
      <c r="I25" s="27"/>
      <c r="J25" s="27"/>
      <c r="K25" s="27" t="s">
        <v>211</v>
      </c>
      <c r="L25" s="27"/>
      <c r="M25" s="27"/>
      <c r="N25" s="27">
        <f>SUM(N7:N24)</f>
        <v>593</v>
      </c>
      <c r="O25" s="27" t="e">
        <f>SUM(O7:O24)</f>
        <v>#N/A</v>
      </c>
      <c r="P25" s="27" t="str">
        <f>BF73</f>
        <v>תוספת ערבה</v>
      </c>
      <c r="Q25" s="27">
        <f>BG73</f>
        <v>0</v>
      </c>
      <c r="R25" s="27">
        <f>SUM(R10:R24)*'[1]נתוני מס'!L23</f>
        <v>319.29222914316</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3</v>
      </c>
      <c r="D26" s="55">
        <f>D25*1.1</f>
        <v>2.2000000000000002</v>
      </c>
      <c r="E26" s="55">
        <f>E25*2</f>
        <v>0</v>
      </c>
      <c r="F26" s="60">
        <f>SUM(C26:E26)</f>
        <v>5.2</v>
      </c>
      <c r="G26" s="27" t="s">
        <v>270</v>
      </c>
      <c r="H26" s="27"/>
      <c r="I26" s="27"/>
      <c r="J26" s="27"/>
      <c r="K26" s="27"/>
      <c r="L26" s="27"/>
      <c r="M26" s="27"/>
      <c r="N26" s="27"/>
      <c r="O26" s="27"/>
      <c r="P26" s="27"/>
      <c r="Q26" s="27" t="e">
        <f>SUM(Q10:Q25)</f>
        <v>#REF!</v>
      </c>
      <c r="R26" s="27">
        <f>SUM(R10:R24)*'[1]נתוני מס'!L22*(1+'[1]נתוני מס'!L23)</f>
        <v>431.86047837329858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9620.3812948264604</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t="str">
        <f>IF(C14&gt;1%,"3%",0)</f>
        <v>3%</v>
      </c>
      <c r="I35" s="27">
        <f>IF(C14&gt;1%,3,0)</f>
        <v>3</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23</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5.2</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f>VLOOKUP(S69,S72:S88,1,1)</f>
        <v>12450.941207496717</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f>IF(OR($C$5=$CB$16,$C$5=$CC$16),S72*1.05,S72)</f>
        <v>8735.2048996775993</v>
      </c>
      <c r="S72" s="27">
        <f>VLOOKUP(INT(W18),ofek4,1+2,FALSE)</f>
        <v>8319.242761597714</v>
      </c>
      <c r="T72" s="27">
        <f>S72*0.75</f>
        <v>6239.4320711982855</v>
      </c>
      <c r="U72" s="27">
        <f t="shared" ref="U72:U88" si="5">T72*$U$70</f>
        <v>5687.5262270564772</v>
      </c>
      <c r="V72" s="27">
        <f t="shared" ref="V72:V88" si="6">U72*$S$64</f>
        <v>4948.0340670145943</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f>R72*1.0375</f>
        <v>9062.7750834155104</v>
      </c>
      <c r="S73" s="27">
        <f>S72*1.0375</f>
        <v>8631.2143651576298</v>
      </c>
      <c r="T73" s="27">
        <f t="shared" ref="T73:T88" si="7">S73*0.75</f>
        <v>6473.4107738682223</v>
      </c>
      <c r="U73" s="27">
        <f t="shared" si="5"/>
        <v>5900.8084605710956</v>
      </c>
      <c r="V73" s="27">
        <f t="shared" si="6"/>
        <v>5133.5853445276416</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f>IF(OR($C$5=$CB$16,$C$5=$CC$16),S74*1.05,S74)</f>
        <v>9390.3452671534196</v>
      </c>
      <c r="S74" s="27">
        <f>VLOOKUP(INT(W18),ofek4,2+2,FALSE)</f>
        <v>8943.185968717542</v>
      </c>
      <c r="T74" s="27">
        <f t="shared" si="7"/>
        <v>6707.3894765381565</v>
      </c>
      <c r="U74" s="27">
        <f t="shared" si="5"/>
        <v>6114.0906940857121</v>
      </c>
      <c r="V74" s="27">
        <f t="shared" si="6"/>
        <v>5319.1366220406881</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5</v>
      </c>
      <c r="J75" s="27"/>
      <c r="K75" s="27">
        <f>D25*0.1</f>
        <v>0.2</v>
      </c>
      <c r="L75" s="27">
        <f>E25*1</f>
        <v>0</v>
      </c>
      <c r="M75" s="27"/>
      <c r="N75" s="27"/>
      <c r="O75" s="27">
        <v>543</v>
      </c>
      <c r="P75" s="27"/>
      <c r="Q75" s="27"/>
      <c r="R75" s="27">
        <f>R74*1.0375</f>
        <v>9742.4832146716744</v>
      </c>
      <c r="S75" s="27">
        <f>S74*1.0375</f>
        <v>9278.5554425444498</v>
      </c>
      <c r="T75" s="27">
        <f t="shared" si="7"/>
        <v>6958.9165819083373</v>
      </c>
      <c r="U75" s="27">
        <f t="shared" si="5"/>
        <v>6343.3690951139261</v>
      </c>
      <c r="V75" s="27">
        <f t="shared" si="6"/>
        <v>5518.6042453672135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f>IF(OR($C$5=$CB$16,$C$5=$CC$16),S76*1.05,S76)</f>
        <v>10094.621162189926</v>
      </c>
      <c r="S76" s="27">
        <f>VLOOKUP(INT(W18),ofek4,3+2,FALSE)</f>
        <v>9613.9249163713575</v>
      </c>
      <c r="T76" s="27">
        <f t="shared" si="7"/>
        <v>7210.4436872785182</v>
      </c>
      <c r="U76" s="27">
        <f t="shared" si="5"/>
        <v>6572.6474961421409</v>
      </c>
      <c r="V76" s="27">
        <f t="shared" si="6"/>
        <v>5718.0718686937398</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5.2</v>
      </c>
      <c r="L77" s="27"/>
      <c r="M77" s="27"/>
      <c r="N77" s="27"/>
      <c r="O77" s="27">
        <v>543</v>
      </c>
      <c r="P77" s="27"/>
      <c r="Q77" s="27"/>
      <c r="R77" s="27">
        <f>R76*1.0375</f>
        <v>10473.169455772049</v>
      </c>
      <c r="S77" s="27">
        <f>S76*1.0375</f>
        <v>9974.447100735284</v>
      </c>
      <c r="T77" s="27">
        <f t="shared" si="7"/>
        <v>7480.835325551463</v>
      </c>
      <c r="U77" s="27">
        <f t="shared" si="5"/>
        <v>6819.1217772474711</v>
      </c>
      <c r="V77" s="27">
        <f t="shared" si="6"/>
        <v>5932.4995637697548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f>IF(OR($C$5=$CB$16,$C$5=$CC$16),S78*1.05,S78)</f>
        <v>10851.717749354169</v>
      </c>
      <c r="S78" s="27">
        <f>VLOOKUP(INT(W18),ofek4,4+2,FALSE)</f>
        <v>10334.969285099209</v>
      </c>
      <c r="T78" s="27">
        <f t="shared" si="7"/>
        <v>7751.226963824407</v>
      </c>
      <c r="U78" s="27">
        <f t="shared" si="5"/>
        <v>7065.5960583528013</v>
      </c>
      <c r="V78" s="27">
        <f t="shared" si="6"/>
        <v>6146.9272588457698</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f>R78*1.0375</f>
        <v>11258.657164954951</v>
      </c>
      <c r="S79" s="27">
        <f>S78*1.0375</f>
        <v>10722.530633290429</v>
      </c>
      <c r="T79" s="27">
        <f t="shared" si="7"/>
        <v>8041.8979749678219</v>
      </c>
      <c r="U79" s="27">
        <f t="shared" si="5"/>
        <v>7330.5559105410312</v>
      </c>
      <c r="V79" s="27">
        <f t="shared" si="6"/>
        <v>6377.4370310524864</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f>IF(OR($C$5=$CB$16,$C$5=$CC$16),S80*1.05,S80)</f>
        <v>11665.596580555733</v>
      </c>
      <c r="S80" s="27">
        <f>VLOOKUP(INT(W18),ofek4,5+2,FALSE)</f>
        <v>11110.09198148165</v>
      </c>
      <c r="T80" s="27">
        <f t="shared" si="7"/>
        <v>8332.5689861112369</v>
      </c>
      <c r="U80" s="27">
        <f t="shared" si="5"/>
        <v>7595.5157627292601</v>
      </c>
      <c r="V80" s="27">
        <f t="shared" si="6"/>
        <v>6607.9468032592013</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23  שנות הוראה  </v>
      </c>
      <c r="O81" s="27">
        <v>543</v>
      </c>
      <c r="P81" s="27"/>
      <c r="Q81" s="27"/>
      <c r="R81" s="27">
        <f>R80*1.0375</f>
        <v>12103.056452326575</v>
      </c>
      <c r="S81" s="27">
        <f>S80*1.0375</f>
        <v>11526.720430787213</v>
      </c>
      <c r="T81" s="27">
        <f t="shared" si="7"/>
        <v>8645.0403230904085</v>
      </c>
      <c r="U81" s="27">
        <f t="shared" si="5"/>
        <v>7880.3476038316085</v>
      </c>
      <c r="V81" s="27">
        <f t="shared" si="6"/>
        <v>6855.7448083814224</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f t="shared" ref="N82:N98" si="8">IF($C$5=$CB$16,R72*1.05,IF($C$5=$CE$16,T72,IF($C$5=$CF$16,U72,IF(OR($C$5=$CC$16,$C$5=$CD$16),S72,U72*$S$64))))</f>
        <v>8319.242761597714</v>
      </c>
      <c r="O82" s="27"/>
      <c r="P82" s="27"/>
      <c r="Q82" s="27"/>
      <c r="R82" s="27">
        <f>IF(OR($C$5=$CB$16,$C$5=$CC$16),S82*1.05,S82)</f>
        <v>12540.516324097413</v>
      </c>
      <c r="S82" s="27">
        <f>VLOOKUP(INT(W18),ofek4,6+2,FALSE)</f>
        <v>11943.348880092773</v>
      </c>
      <c r="T82" s="27">
        <f t="shared" si="7"/>
        <v>8957.5116600695801</v>
      </c>
      <c r="U82" s="27">
        <f t="shared" si="5"/>
        <v>8165.1794449339559</v>
      </c>
      <c r="V82" s="27">
        <f t="shared" si="6"/>
        <v>7103.5428135036427</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f t="shared" si="8"/>
        <v>8631.2143651576298</v>
      </c>
      <c r="O83" s="27"/>
      <c r="P83" s="27"/>
      <c r="Q83" s="27"/>
      <c r="R83" s="27">
        <f>R82*1.0375</f>
        <v>13010.785686251067</v>
      </c>
      <c r="S83" s="27">
        <f>S82*1.0425</f>
        <v>12450.941207496717</v>
      </c>
      <c r="T83" s="27">
        <f t="shared" si="7"/>
        <v>9338.2059056225371</v>
      </c>
      <c r="U83" s="27">
        <f t="shared" si="5"/>
        <v>8512.1995713436481</v>
      </c>
      <c r="V83" s="27">
        <f t="shared" si="6"/>
        <v>7405.443383077547</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f t="shared" si="8"/>
        <v>8943.185968717542</v>
      </c>
      <c r="O84" s="27"/>
      <c r="P84" s="27"/>
      <c r="Q84" s="27"/>
      <c r="R84" s="27">
        <f>IF(OR($C$5=$CB$16,$C$5=$CC$16),S84*1.05,S84)</f>
        <v>13606.460211645692</v>
      </c>
      <c r="S84" s="27">
        <f>VLOOKUP(INT(W18),ofek4,7+2,FALSE)</f>
        <v>12958.533534900658</v>
      </c>
      <c r="T84" s="27">
        <f>S84*0.75</f>
        <v>9718.9001511754941</v>
      </c>
      <c r="U84" s="27">
        <f t="shared" si="5"/>
        <v>8859.2196977533422</v>
      </c>
      <c r="V84" s="27">
        <f t="shared" si="6"/>
        <v>7707.3439526514521</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f t="shared" si="8"/>
        <v>9278.5554425444498</v>
      </c>
      <c r="O85" s="27" t="s">
        <v>9</v>
      </c>
      <c r="P85" s="27" t="s">
        <v>12</v>
      </c>
      <c r="Q85" s="27" t="s">
        <v>13</v>
      </c>
      <c r="R85" s="27">
        <f>R84*1.0375</f>
        <v>14116.702469582406</v>
      </c>
      <c r="S85" s="27">
        <f>S84*1.0425</f>
        <v>13509.271210133937</v>
      </c>
      <c r="T85" s="27">
        <f t="shared" si="7"/>
        <v>10131.953407600453</v>
      </c>
      <c r="U85" s="27">
        <f t="shared" si="5"/>
        <v>9235.7365349078591</v>
      </c>
      <c r="V85" s="27">
        <f t="shared" si="6"/>
        <v>8034.9060706391392</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f t="shared" si="8"/>
        <v>9613.9249163713575</v>
      </c>
      <c r="O86" s="27">
        <f t="shared" ref="O86:O102" si="9">N120*0.75</f>
        <v>4725.0025781249997</v>
      </c>
      <c r="P86" s="27">
        <f t="shared" ref="P86:P102" si="10">O86*$U$70</f>
        <v>4307.0548375782419</v>
      </c>
      <c r="Q86" s="27">
        <f t="shared" ref="Q86:Q102" si="11">P86*$S$64</f>
        <v>3747.0515675963188</v>
      </c>
      <c r="R86" s="27">
        <f>IF(OR($C$5=$CB$16,$C$5=$CC$16),S86*1.05,S86)</f>
        <v>14763.009329635575</v>
      </c>
      <c r="S86" s="27">
        <f>VLOOKUP(INT(W18),ofek4,8+2,FALSE)</f>
        <v>14060.008885367213</v>
      </c>
      <c r="T86" s="27">
        <f t="shared" si="7"/>
        <v>10545.00666402541</v>
      </c>
      <c r="U86" s="27">
        <f t="shared" si="5"/>
        <v>9612.2533720623742</v>
      </c>
      <c r="V86" s="27">
        <f t="shared" si="6"/>
        <v>8362.4681886268245</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f t="shared" si="8"/>
        <v>9974.447100735284</v>
      </c>
      <c r="O87" s="27">
        <f t="shared" si="9"/>
        <v>4902.1901748046876</v>
      </c>
      <c r="P87" s="27">
        <f t="shared" si="10"/>
        <v>4468.5693939874263</v>
      </c>
      <c r="Q87" s="27">
        <f t="shared" si="11"/>
        <v>3887.5660013811812</v>
      </c>
      <c r="R87" s="27">
        <f>R86*1.0375</f>
        <v>15316.622179496911</v>
      </c>
      <c r="S87" s="27">
        <f>S86*1.0425</f>
        <v>14657.559262995319</v>
      </c>
      <c r="T87" s="27">
        <f t="shared" si="7"/>
        <v>10993.16944724649</v>
      </c>
      <c r="U87" s="27">
        <f t="shared" si="5"/>
        <v>10020.774140375026</v>
      </c>
      <c r="V87" s="27">
        <f t="shared" si="6"/>
        <v>8717.8730866434653</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f t="shared" si="8"/>
        <v>10334.969285099209</v>
      </c>
      <c r="O88" s="27">
        <f t="shared" si="9"/>
        <v>5079.3777714843745</v>
      </c>
      <c r="P88" s="27">
        <f t="shared" si="10"/>
        <v>4630.0839503966099</v>
      </c>
      <c r="Q88" s="27">
        <f t="shared" si="11"/>
        <v>4028.0804351660427</v>
      </c>
      <c r="R88" s="27">
        <f>IF(OR($C$5=$CB$16,$C$5=$CC$16),S88*1.05,S88)</f>
        <v>16017.865122654599</v>
      </c>
      <c r="S88" s="27">
        <f>VLOOKUP(INT(W18),ofek4,9+2,FALSE)</f>
        <v>15255.109640623426</v>
      </c>
      <c r="T88" s="27">
        <f t="shared" si="7"/>
        <v>11441.332230467569</v>
      </c>
      <c r="U88" s="27">
        <f t="shared" si="5"/>
        <v>10429.294908687676</v>
      </c>
      <c r="V88" s="27">
        <f t="shared" si="6"/>
        <v>9073.2779846601043</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f t="shared" si="8"/>
        <v>10722.530633290429</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f t="shared" si="8"/>
        <v>11110.09198148165</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f t="shared" si="8"/>
        <v>11526.720430787213</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f t="shared" si="8"/>
        <v>11943.348880092773</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f t="shared" si="8"/>
        <v>12450.941207496717</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f t="shared" si="8"/>
        <v>12958.533534900658</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f t="shared" si="8"/>
        <v>13509.271210133937</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f t="shared" si="8"/>
        <v>14060.008885367213</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f t="shared" si="8"/>
        <v>14657.559262995319</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f t="shared" si="8"/>
        <v>15255.109640623426</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6615.0036093749995</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6863.0662447265622</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7111.128880078124</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7377.7962130810547</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7644.4635460839827</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7931.130929062133</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8217.7983120402805</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8525.9657487417917</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8834.1331854433029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9165.4131798974267</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9496.6931743515506</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9852.8191683897348</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10303.91209417143</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10690.308797702859</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11179.744622176002</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11598.985045507603</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12130.022915060959</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32.000100000000003</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23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f t="shared" si="14"/>
        <v>8319.242761597714</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f t="shared" si="14"/>
        <v>8631.2143651576298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f t="shared" si="14"/>
        <v>8943.185968717542</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f t="shared" si="14"/>
        <v>9278.5554425444498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f t="shared" si="14"/>
        <v>9613.9249163713575</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9974.447100735284</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f t="shared" si="14"/>
        <v>10334.969285099209</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f t="shared" si="14"/>
        <v>10722.530633290429</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f t="shared" si="14"/>
        <v>11110.09198148165</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f t="shared" si="14"/>
        <v>11526.720430787213</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f t="shared" si="14"/>
        <v>11943.348880092773</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f t="shared" si="14"/>
        <v>12450.941207496717</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12958.533534900658</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f t="shared" si="14"/>
        <v>13509.271210133937</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f t="shared" si="14"/>
        <v>14060.008885367213</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f t="shared" si="14"/>
        <v>14657.559262995319</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מ"א</v>
      </c>
      <c r="D186" s="27"/>
      <c r="E186" s="27"/>
      <c r="F186" s="27" t="e">
        <f>#REF!/#REF!*F187</f>
        <v>#REF!</v>
      </c>
      <c r="G186" s="27" t="s">
        <v>536</v>
      </c>
      <c r="H186" s="27"/>
      <c r="I186" s="27"/>
      <c r="J186" s="27"/>
      <c r="K186" s="27"/>
      <c r="L186" s="27"/>
      <c r="M186" s="27">
        <f t="shared" si="14"/>
        <v>15255.109640623426</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f>M170*0.95</f>
        <v>7903.2806235178277</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f t="shared" ref="J208:J223" si="17">M171*0.95</f>
        <v>8199.6536468997474</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f t="shared" si="17"/>
        <v>8496.0266702816643</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f t="shared" si="17"/>
        <v>8814.6276704172269</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f t="shared" si="17"/>
        <v>9133.2286705527895</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f t="shared" si="17"/>
        <v>9475.7247456985187</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f t="shared" si="17"/>
        <v>9818.220820844248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f t="shared" si="17"/>
        <v>10186.404101625907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f t="shared" si="17"/>
        <v>10554.587382407566</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f t="shared" si="17"/>
        <v>10950.384409247852</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f t="shared" si="17"/>
        <v>11346.181436088134</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f t="shared" si="17"/>
        <v>11828.39414712188</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f t="shared" si="17"/>
        <v>12310.606858155625</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f t="shared" si="17"/>
        <v>12833.807649627239</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f t="shared" si="17"/>
        <v>13357.008441098851</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f t="shared" si="17"/>
        <v>13924.681299845552</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f t="shared" si="17"/>
        <v>14492.354158592254</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65.77</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-5.769999999999996</v>
      </c>
      <c r="P711" s="27" t="s">
        <v>96</v>
      </c>
      <c r="Q711" s="27">
        <f ca="1">Q710+O711</f>
        <v>-5.4099999999999957</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27.230000000000004</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13.26</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45286</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-0.30959999999999999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13.26</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The user</cp:lastModifiedBy>
  <cp:lastPrinted>2023-09-05T13:48:47Z</cp:lastPrinted>
  <dcterms:created xsi:type="dcterms:W3CDTF">2023-09-05T11:53:22Z</dcterms:created>
  <dcterms:modified xsi:type="dcterms:W3CDTF">2023-12-26T16:39:10Z</dcterms:modified>
</cp:coreProperties>
</file>